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90" windowWidth="18285" windowHeight="11565"/>
  </bookViews>
  <sheets>
    <sheet name="QA23" sheetId="1" r:id="rId1"/>
  </sheets>
  <externalReferences>
    <externalReference r:id="rId2"/>
  </externalReferences>
  <definedNames>
    <definedName name="Excel_BuiltIn_Print_Area_1">#REF!</definedName>
    <definedName name="Grape_yield" localSheetId="0">'QA23'!$M$105:$O$121</definedName>
    <definedName name="Grape_yield" comment="Juice yield per pound of grapes">#REF!</definedName>
    <definedName name="Must_Yeast_Nutrient">#REF!</definedName>
    <definedName name="_xlnm.Print_Area" localSheetId="0">'QA23'!$A$1:$K$128</definedName>
    <definedName name="Yeast_Table" localSheetId="0">'QA23'!$M$55:$O$102</definedName>
    <definedName name="Yeast_Table" comment="Yeast nutrient multiplyer table">#REF!</definedName>
  </definedNames>
  <calcPr calcId="145621"/>
</workbook>
</file>

<file path=xl/calcChain.xml><?xml version="1.0" encoding="utf-8"?>
<calcChain xmlns="http://schemas.openxmlformats.org/spreadsheetml/2006/main">
  <c r="I92" i="1" l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K82" i="1"/>
  <c r="D82" i="1"/>
  <c r="K81" i="1"/>
  <c r="D81" i="1"/>
  <c r="K80" i="1"/>
  <c r="D80" i="1"/>
  <c r="K79" i="1"/>
  <c r="D79" i="1"/>
  <c r="K78" i="1"/>
  <c r="D78" i="1"/>
  <c r="K77" i="1"/>
  <c r="D77" i="1"/>
  <c r="K76" i="1"/>
  <c r="D76" i="1"/>
  <c r="K75" i="1"/>
  <c r="D75" i="1"/>
  <c r="K74" i="1"/>
  <c r="D74" i="1"/>
  <c r="K73" i="1"/>
  <c r="D73" i="1"/>
  <c r="K72" i="1"/>
  <c r="D72" i="1"/>
  <c r="K71" i="1"/>
  <c r="D71" i="1"/>
  <c r="K70" i="1"/>
  <c r="D70" i="1"/>
  <c r="D69" i="1"/>
  <c r="C66" i="1"/>
  <c r="A66" i="1"/>
  <c r="J65" i="1"/>
  <c r="F64" i="1"/>
  <c r="C64" i="1"/>
  <c r="A64" i="1"/>
  <c r="J63" i="1"/>
  <c r="K65" i="1" s="1"/>
  <c r="C62" i="1"/>
  <c r="A62" i="1"/>
  <c r="C60" i="1"/>
  <c r="A60" i="1"/>
  <c r="K59" i="1"/>
  <c r="G58" i="1"/>
  <c r="H55" i="1"/>
  <c r="K52" i="1"/>
  <c r="C52" i="1"/>
  <c r="C53" i="1" s="1"/>
  <c r="C54" i="1" s="1"/>
  <c r="F50" i="1"/>
  <c r="F49" i="1"/>
  <c r="F48" i="1"/>
  <c r="K46" i="1"/>
  <c r="K49" i="1" s="1"/>
  <c r="K53" i="1" s="1"/>
  <c r="D39" i="1"/>
  <c r="H36" i="1" s="1"/>
  <c r="C39" i="1"/>
  <c r="H37" i="1"/>
  <c r="I37" i="1" s="1"/>
  <c r="J37" i="1" s="1"/>
  <c r="K37" i="1" s="1"/>
  <c r="D37" i="1"/>
  <c r="G32" i="1" s="1"/>
  <c r="C37" i="1"/>
  <c r="D36" i="1"/>
  <c r="H31" i="1" s="1"/>
  <c r="C36" i="1"/>
  <c r="K35" i="1"/>
  <c r="D35" i="1"/>
  <c r="J30" i="1" s="1"/>
  <c r="K30" i="1" s="1"/>
  <c r="C35" i="1"/>
  <c r="B33" i="1"/>
  <c r="B34" i="1" s="1"/>
  <c r="I31" i="1"/>
  <c r="G31" i="1"/>
  <c r="I30" i="1"/>
  <c r="H30" i="1"/>
  <c r="G30" i="1"/>
  <c r="D30" i="1"/>
  <c r="C30" i="1"/>
  <c r="K29" i="1"/>
  <c r="K25" i="1"/>
  <c r="J25" i="1"/>
  <c r="I25" i="1"/>
  <c r="H25" i="1"/>
  <c r="G25" i="1"/>
  <c r="D24" i="1"/>
  <c r="D23" i="1"/>
  <c r="E23" i="1" s="1"/>
  <c r="K19" i="1"/>
  <c r="F19" i="1"/>
  <c r="E19" i="1"/>
  <c r="C19" i="1"/>
  <c r="K12" i="1"/>
  <c r="F12" i="1"/>
  <c r="C12" i="1"/>
  <c r="K11" i="1"/>
  <c r="F11" i="1"/>
  <c r="C11" i="1"/>
  <c r="K10" i="1"/>
  <c r="F10" i="1"/>
  <c r="C10" i="1"/>
  <c r="K9" i="1"/>
  <c r="K13" i="1" s="1"/>
  <c r="F9" i="1"/>
  <c r="F13" i="1" s="1"/>
  <c r="C9" i="1"/>
  <c r="K8" i="1"/>
  <c r="F8" i="1"/>
  <c r="C8" i="1"/>
  <c r="K7" i="1"/>
  <c r="F7" i="1"/>
  <c r="C7" i="1"/>
  <c r="C13" i="1" s="1"/>
  <c r="J31" i="1" l="1"/>
  <c r="K31" i="1" s="1"/>
  <c r="I36" i="1"/>
  <c r="K36" i="1" s="1"/>
  <c r="H32" i="1"/>
  <c r="J36" i="1"/>
  <c r="D34" i="1"/>
  <c r="C34" i="1"/>
  <c r="D33" i="1"/>
  <c r="K63" i="1"/>
  <c r="I32" i="1"/>
  <c r="J32" i="1"/>
  <c r="K32" i="1" l="1"/>
  <c r="C40" i="1"/>
  <c r="G33" i="1"/>
  <c r="H33" i="1" s="1"/>
  <c r="H38" i="1" l="1"/>
  <c r="I33" i="1"/>
  <c r="I38" i="1" l="1"/>
  <c r="J33" i="1"/>
  <c r="J38" i="1" l="1"/>
  <c r="K33" i="1"/>
  <c r="K38" i="1" s="1"/>
</calcChain>
</file>

<file path=xl/comments1.xml><?xml version="1.0" encoding="utf-8"?>
<comments xmlns="http://schemas.openxmlformats.org/spreadsheetml/2006/main">
  <authors>
    <author>Owner</author>
    <author>Willem Wyngaards</author>
    <author>WILLEM</author>
    <author>Bill Wyngaards</author>
  </authors>
  <commentList>
    <comment ref="B6" authorId="0">
      <text>
        <r>
          <rPr>
            <sz val="12"/>
            <color indexed="81"/>
            <rFont val="Tahoma"/>
            <family val="2"/>
          </rPr>
          <t>6 gal API Kirk #16 pail from California.
Freeboard measured down from the top rim.</t>
        </r>
        <r>
          <rPr>
            <b/>
            <sz val="12"/>
            <color indexed="81"/>
            <rFont val="Tahoma"/>
            <family val="2"/>
          </rPr>
          <t xml:space="preserve"> (mm)</t>
        </r>
      </text>
    </comment>
    <comment ref="E6" authorId="0">
      <text>
        <r>
          <rPr>
            <sz val="12"/>
            <color indexed="81"/>
            <rFont val="Tahoma"/>
            <family val="2"/>
          </rPr>
          <t>6 gal API Kirk #16 pail from California.
Freeboard measured down from the top rim in</t>
        </r>
        <r>
          <rPr>
            <b/>
            <sz val="12"/>
            <color indexed="81"/>
            <rFont val="Tahoma"/>
            <family val="2"/>
          </rPr>
          <t xml:space="preserve"> (mm)</t>
        </r>
        <r>
          <rPr>
            <sz val="12"/>
            <color indexed="81"/>
            <rFont val="Tahoma"/>
            <family val="2"/>
          </rPr>
          <t>.</t>
        </r>
      </text>
    </comment>
    <comment ref="J19" authorId="1">
      <text>
        <r>
          <rPr>
            <b/>
            <sz val="9"/>
            <color indexed="81"/>
            <rFont val="Tahoma"/>
            <family val="2"/>
          </rPr>
          <t>FOR POTASSIUM SORBATE
SENSORY THRESHOLD IS 0.180 g/L
O.I.V. LIMIT IS 0.268 g/L
DO NOT USE AFTER ML FERMENT
MAINTAIN FSO2 &gt; 30 PPM</t>
        </r>
      </text>
    </comment>
    <comment ref="D22" authorId="0">
      <text>
        <r>
          <rPr>
            <sz val="12"/>
            <color indexed="81"/>
            <rFont val="Tahoma"/>
            <family val="2"/>
          </rPr>
          <t xml:space="preserve">Kilogram (Kg) to Pounds (Lbs)
Multiply Kilograms by </t>
        </r>
        <r>
          <rPr>
            <b/>
            <sz val="12"/>
            <color indexed="81"/>
            <rFont val="Tahoma"/>
            <family val="2"/>
          </rPr>
          <t>2.204</t>
        </r>
      </text>
    </comment>
    <comment ref="D23" authorId="1">
      <text>
        <r>
          <rPr>
            <sz val="12"/>
            <color indexed="81"/>
            <rFont val="Tahoma"/>
            <family val="2"/>
          </rPr>
          <t>Add 1/2 and Check change in Brix reading. Use change in Brix reading to re-calculate volume estimate.</t>
        </r>
      </text>
    </comment>
    <comment ref="D25" authorId="1">
      <text>
        <r>
          <rPr>
            <sz val="12"/>
            <color indexed="81"/>
            <rFont val="Tahoma"/>
            <family val="2"/>
          </rPr>
          <t xml:space="preserve">Pounds (Lbs) to Kilograms (kg) multiply pounds by </t>
        </r>
        <r>
          <rPr>
            <b/>
            <sz val="12"/>
            <color indexed="81"/>
            <rFont val="Tahoma"/>
            <family val="2"/>
          </rPr>
          <t>0.454</t>
        </r>
      </text>
    </comment>
    <comment ref="G29" authorId="1">
      <text>
        <r>
          <rPr>
            <sz val="12"/>
            <color indexed="81"/>
            <rFont val="Tahoma"/>
            <family val="2"/>
          </rPr>
          <t>Edit split percentages to total 100% At start up provide &gt;150mgN/L</t>
        </r>
      </text>
    </comment>
    <comment ref="C30" authorId="0">
      <text>
        <r>
          <rPr>
            <b/>
            <sz val="12"/>
            <color indexed="81"/>
            <rFont val="Tahoma"/>
            <family val="2"/>
          </rPr>
          <t>NOTE:</t>
        </r>
        <r>
          <rPr>
            <sz val="12"/>
            <color indexed="81"/>
            <rFont val="Tahoma"/>
            <family val="2"/>
          </rPr>
          <t>-
YAN Recommended levels: 
LESS THAN 150 mgN/L STUCK FERMENT
LESS THAN 200 mgN/L H</t>
        </r>
        <r>
          <rPr>
            <vertAlign val="subscript"/>
            <sz val="12"/>
            <color indexed="81"/>
            <rFont val="Tahoma"/>
            <family val="2"/>
          </rPr>
          <t>2</t>
        </r>
        <r>
          <rPr>
            <sz val="12"/>
            <color indexed="81"/>
            <rFont val="Tahoma"/>
            <family val="2"/>
          </rPr>
          <t>S RISK</t>
        </r>
      </text>
    </comment>
    <comment ref="D30" authorId="0">
      <text>
        <r>
          <rPr>
            <sz val="12"/>
            <color indexed="81"/>
            <rFont val="Tahoma"/>
            <family val="2"/>
          </rPr>
          <t xml:space="preserve">Increase nitrogen sources in Column B until YAN total in cell </t>
        </r>
        <r>
          <rPr>
            <b/>
            <sz val="12"/>
            <color indexed="81"/>
            <rFont val="Tahoma"/>
            <family val="2"/>
          </rPr>
          <t>C40</t>
        </r>
        <r>
          <rPr>
            <sz val="12"/>
            <color indexed="81"/>
            <rFont val="Tahoma"/>
            <family val="2"/>
          </rPr>
          <t xml:space="preserve"> equals YAN in cell </t>
        </r>
        <r>
          <rPr>
            <b/>
            <sz val="12"/>
            <color indexed="81"/>
            <rFont val="Tahoma"/>
            <family val="2"/>
          </rPr>
          <t>D30</t>
        </r>
      </text>
    </comment>
    <comment ref="D31" authorId="1">
      <text>
        <r>
          <rPr>
            <sz val="12"/>
            <color indexed="81"/>
            <rFont val="Tahoma"/>
            <family val="2"/>
          </rPr>
          <t xml:space="preserve">Enter Volume in cell </t>
        </r>
        <r>
          <rPr>
            <b/>
            <sz val="12"/>
            <color indexed="81"/>
            <rFont val="Tahoma"/>
            <family val="2"/>
          </rPr>
          <t>D27</t>
        </r>
      </text>
    </comment>
    <comment ref="B33" authorId="1">
      <text>
        <r>
          <rPr>
            <sz val="12"/>
            <color indexed="81"/>
            <rFont val="Tahoma"/>
            <family val="2"/>
          </rPr>
          <t>Standard dosage is 0.25 g/L.
Amount increases proportional to Brix.</t>
        </r>
      </text>
    </comment>
    <comment ref="A34" authorId="2">
      <text>
        <r>
          <rPr>
            <b/>
            <sz val="12"/>
            <color indexed="81"/>
            <rFont val="Tahoma"/>
            <family val="2"/>
          </rPr>
          <t>GoFerm</t>
        </r>
        <r>
          <rPr>
            <sz val="12"/>
            <color indexed="81"/>
            <rFont val="Tahoma"/>
            <family val="2"/>
          </rPr>
          <t xml:space="preserve">
Added to yeast rehydration water. 
1 g/L yields 30 mgN/L</t>
        </r>
      </text>
    </comment>
    <comment ref="B34" authorId="1">
      <text>
        <r>
          <rPr>
            <sz val="12"/>
            <color indexed="81"/>
            <rFont val="Tahoma"/>
            <family val="2"/>
          </rPr>
          <t xml:space="preserve">Standard dosage is 1.25 times weight of yeast, rehydrate in 20 times its weight in water. </t>
        </r>
      </text>
    </comment>
    <comment ref="A35" authorId="2">
      <text>
        <r>
          <rPr>
            <b/>
            <sz val="12"/>
            <color indexed="81"/>
            <rFont val="Tahoma"/>
            <family val="2"/>
          </rPr>
          <t>Fermaid K</t>
        </r>
        <r>
          <rPr>
            <sz val="12"/>
            <color indexed="81"/>
            <rFont val="Tahoma"/>
            <family val="2"/>
          </rPr>
          <t xml:space="preserve">
1 g/L 
yields 100 mgN/L</t>
        </r>
      </text>
    </comment>
    <comment ref="B35" authorId="1">
      <text>
        <r>
          <rPr>
            <b/>
            <sz val="12"/>
            <color indexed="81"/>
            <rFont val="Tahoma"/>
            <family val="2"/>
          </rPr>
          <t>0.5 g/L</t>
        </r>
        <r>
          <rPr>
            <sz val="12"/>
            <color indexed="81"/>
            <rFont val="Tahoma"/>
            <family val="2"/>
          </rPr>
          <t xml:space="preserve"> is the maximum amount set by the </t>
        </r>
        <r>
          <rPr>
            <b/>
            <sz val="12"/>
            <color indexed="81"/>
            <rFont val="Tahoma"/>
            <family val="2"/>
          </rPr>
          <t>A</t>
        </r>
        <r>
          <rPr>
            <sz val="12"/>
            <color indexed="81"/>
            <rFont val="Tahoma"/>
            <family val="2"/>
          </rPr>
          <t xml:space="preserve">lcohol and </t>
        </r>
        <r>
          <rPr>
            <b/>
            <sz val="12"/>
            <color indexed="81"/>
            <rFont val="Tahoma"/>
            <family val="2"/>
          </rPr>
          <t>T</t>
        </r>
        <r>
          <rPr>
            <sz val="12"/>
            <color indexed="81"/>
            <rFont val="Tahoma"/>
            <family val="2"/>
          </rPr>
          <t xml:space="preserve">obacco </t>
        </r>
        <r>
          <rPr>
            <b/>
            <sz val="12"/>
            <color indexed="81"/>
            <rFont val="Tahoma"/>
            <family val="2"/>
          </rPr>
          <t>T</t>
        </r>
        <r>
          <rPr>
            <sz val="12"/>
            <color indexed="81"/>
            <rFont val="Tahoma"/>
            <family val="2"/>
          </rPr>
          <t xml:space="preserve">ax </t>
        </r>
        <r>
          <rPr>
            <b/>
            <sz val="12"/>
            <color indexed="81"/>
            <rFont val="Tahoma"/>
            <family val="2"/>
          </rPr>
          <t>B</t>
        </r>
        <r>
          <rPr>
            <sz val="12"/>
            <color indexed="81"/>
            <rFont val="Tahoma"/>
            <family val="2"/>
          </rPr>
          <t>ureau because of the vitamin B1 (thiamine) content, limit is 0.6 mg/L</t>
        </r>
      </text>
    </comment>
    <comment ref="H35" authorId="1">
      <text>
        <r>
          <rPr>
            <sz val="12"/>
            <color indexed="81"/>
            <rFont val="Tahoma"/>
            <family val="2"/>
          </rPr>
          <t>Edit split percentages to total 100%</t>
        </r>
      </text>
    </comment>
    <comment ref="A36" authorId="0">
      <text>
        <r>
          <rPr>
            <b/>
            <sz val="12"/>
            <color indexed="81"/>
            <rFont val="Tahoma"/>
            <family val="2"/>
          </rPr>
          <t xml:space="preserve">Fermaid O
</t>
        </r>
        <r>
          <rPr>
            <sz val="12"/>
            <color indexed="81"/>
            <rFont val="Tahoma"/>
            <family val="2"/>
          </rPr>
          <t xml:space="preserve">1 g/L yields 40 mgN/L </t>
        </r>
        <r>
          <rPr>
            <b/>
            <sz val="12"/>
            <color indexed="81"/>
            <rFont val="Tahoma"/>
            <family val="2"/>
          </rPr>
          <t>but</t>
        </r>
        <r>
          <rPr>
            <sz val="12"/>
            <color indexed="81"/>
            <rFont val="Tahoma"/>
            <family val="2"/>
          </rPr>
          <t xml:space="preserve"> is equivalent to 160—240 mgN/L
160 mg/L is used in equation.</t>
        </r>
      </text>
    </comment>
    <comment ref="G36" authorId="0">
      <text>
        <r>
          <rPr>
            <sz val="12"/>
            <color indexed="81"/>
            <rFont val="Tahoma"/>
            <family val="2"/>
          </rPr>
          <t>Use DAP post Lag phase and before 1/3 Brix Drop.</t>
        </r>
      </text>
    </comment>
    <comment ref="A37" authorId="2">
      <text>
        <r>
          <rPr>
            <b/>
            <sz val="12"/>
            <color indexed="81"/>
            <rFont val="Tahoma"/>
            <family val="2"/>
          </rPr>
          <t>Fermax</t>
        </r>
        <r>
          <rPr>
            <sz val="12"/>
            <color indexed="81"/>
            <rFont val="Tahoma"/>
            <family val="2"/>
          </rPr>
          <t>, (Spagnols ?)
1 g/L yields 96 mgN/L</t>
        </r>
      </text>
    </comment>
    <comment ref="A39" authorId="2">
      <text>
        <r>
          <rPr>
            <b/>
            <sz val="12"/>
            <color indexed="81"/>
            <rFont val="Tahoma"/>
            <family val="2"/>
          </rPr>
          <t>LIMIT THE AMOUNT OF DAP</t>
        </r>
        <r>
          <rPr>
            <sz val="12"/>
            <color indexed="81"/>
            <rFont val="Tahoma"/>
            <family val="2"/>
          </rPr>
          <t xml:space="preserve">
Use organic nutrients (GoFerm and Fermaid O) at start up. 
DAP should be use only if YAN is very low and after lag phase. This is approximately a 2—3 Brix drop. 
</t>
        </r>
        <r>
          <rPr>
            <b/>
            <sz val="12"/>
            <color indexed="81"/>
            <rFont val="Tahoma"/>
            <family val="2"/>
          </rPr>
          <t>NOTE:-</t>
        </r>
        <r>
          <rPr>
            <sz val="12"/>
            <color indexed="81"/>
            <rFont val="Tahoma"/>
            <family val="2"/>
          </rPr>
          <t xml:space="preserve">
US ATTB DAP limit is </t>
        </r>
        <r>
          <rPr>
            <b/>
            <sz val="12"/>
            <color indexed="81"/>
            <rFont val="Tahoma"/>
            <family val="2"/>
          </rPr>
          <t>0.97 g/L</t>
        </r>
        <r>
          <rPr>
            <sz val="12"/>
            <color indexed="81"/>
            <rFont val="Tahoma"/>
            <family val="2"/>
          </rPr>
          <t xml:space="preserve"> = 203 mgN/L 
Australia DAP limit is </t>
        </r>
        <r>
          <rPr>
            <b/>
            <sz val="12"/>
            <color indexed="81"/>
            <rFont val="Tahoma"/>
            <family val="2"/>
          </rPr>
          <t>1.7 g/L</t>
        </r>
        <r>
          <rPr>
            <sz val="12"/>
            <color indexed="81"/>
            <rFont val="Tahoma"/>
            <family val="2"/>
          </rPr>
          <t xml:space="preserve"> = 360 mgN/L.
 1 g/L DAP yields 212 mgN/L</t>
        </r>
      </text>
    </comment>
    <comment ref="B39" authorId="1">
      <text>
        <r>
          <rPr>
            <b/>
            <sz val="12"/>
            <color indexed="81"/>
            <rFont val="Tahoma"/>
            <family val="2"/>
          </rPr>
          <t>0.97 g/L</t>
        </r>
        <r>
          <rPr>
            <sz val="12"/>
            <color indexed="81"/>
            <rFont val="Tahoma"/>
            <family val="2"/>
          </rPr>
          <t xml:space="preserve"> is the maximum amount set by the </t>
        </r>
        <r>
          <rPr>
            <b/>
            <sz val="12"/>
            <color indexed="81"/>
            <rFont val="Tahoma"/>
            <family val="2"/>
          </rPr>
          <t>A</t>
        </r>
        <r>
          <rPr>
            <sz val="12"/>
            <color indexed="81"/>
            <rFont val="Tahoma"/>
            <family val="2"/>
          </rPr>
          <t xml:space="preserve">lcohol and </t>
        </r>
        <r>
          <rPr>
            <b/>
            <sz val="12"/>
            <color indexed="81"/>
            <rFont val="Tahoma"/>
            <family val="2"/>
          </rPr>
          <t>T</t>
        </r>
        <r>
          <rPr>
            <sz val="12"/>
            <color indexed="81"/>
            <rFont val="Tahoma"/>
            <family val="2"/>
          </rPr>
          <t xml:space="preserve">obacco </t>
        </r>
        <r>
          <rPr>
            <b/>
            <sz val="12"/>
            <color indexed="81"/>
            <rFont val="Tahoma"/>
            <family val="2"/>
          </rPr>
          <t>T</t>
        </r>
        <r>
          <rPr>
            <sz val="12"/>
            <color indexed="81"/>
            <rFont val="Tahoma"/>
            <family val="2"/>
          </rPr>
          <t xml:space="preserve">ax </t>
        </r>
        <r>
          <rPr>
            <b/>
            <sz val="12"/>
            <color indexed="81"/>
            <rFont val="Tahoma"/>
            <family val="2"/>
          </rPr>
          <t>B</t>
        </r>
        <r>
          <rPr>
            <sz val="12"/>
            <color indexed="81"/>
            <rFont val="Tahoma"/>
            <family val="2"/>
          </rPr>
          <t xml:space="preserve">ureau.
</t>
        </r>
      </text>
    </comment>
    <comment ref="C40" authorId="0">
      <text>
        <r>
          <rPr>
            <sz val="12"/>
            <color indexed="81"/>
            <rFont val="Tahoma"/>
            <family val="2"/>
          </rPr>
          <t>Increase nitrogen sources until YAN total in cell</t>
        </r>
        <r>
          <rPr>
            <b/>
            <sz val="12"/>
            <color indexed="81"/>
            <rFont val="Tahoma"/>
            <family val="2"/>
          </rPr>
          <t xml:space="preserve"> C40</t>
        </r>
        <r>
          <rPr>
            <sz val="12"/>
            <color indexed="81"/>
            <rFont val="Tahoma"/>
            <family val="2"/>
          </rPr>
          <t xml:space="preserve"> equals YAN in cell </t>
        </r>
        <r>
          <rPr>
            <b/>
            <sz val="12"/>
            <color indexed="81"/>
            <rFont val="Tahoma"/>
            <family val="2"/>
          </rPr>
          <t>D30</t>
        </r>
      </text>
    </comment>
    <comment ref="G44" authorId="1">
      <text>
        <r>
          <rPr>
            <sz val="14"/>
            <color indexed="81"/>
            <rFont val="Arial"/>
            <family val="2"/>
          </rPr>
          <t>Lallemand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5" authorId="1">
      <text>
        <r>
          <rPr>
            <sz val="14"/>
            <color indexed="81"/>
            <rFont val="Arial"/>
            <family val="2"/>
          </rPr>
          <t>Lallemand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5" authorId="1">
      <text>
        <r>
          <rPr>
            <b/>
            <sz val="12"/>
            <color indexed="81"/>
            <rFont val="Arial"/>
            <family val="2"/>
          </rPr>
          <t>IF USING ACID REDUCING YEAST
ENTER PERCENT REDUCTION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G46" authorId="1">
      <text>
        <r>
          <rPr>
            <sz val="14"/>
            <color indexed="81"/>
            <rFont val="Arial"/>
            <family val="2"/>
          </rPr>
          <t>Renaissance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1">
      <text>
        <r>
          <rPr>
            <b/>
            <sz val="12"/>
            <color indexed="81"/>
            <rFont val="Arial"/>
            <family val="2"/>
          </rPr>
          <t>Succinic acid is created during fermentation increasing TA by 1.0 g/L ±</t>
        </r>
        <r>
          <rPr>
            <b/>
            <sz val="11"/>
            <color indexed="81"/>
            <rFont val="Tahoma"/>
            <family val="2"/>
          </rPr>
          <t xml:space="preserve">  per 1% alcohol as Tartaroc Acid.</t>
        </r>
      </text>
    </comment>
    <comment ref="C47" authorId="1">
      <text>
        <r>
          <rPr>
            <b/>
            <sz val="9"/>
            <color indexed="81"/>
            <rFont val="Tahoma"/>
            <family val="2"/>
          </rPr>
          <t>CELLAR TEMPERATURE</t>
        </r>
      </text>
    </comment>
    <comment ref="G47" authorId="1">
      <text>
        <r>
          <rPr>
            <b/>
            <sz val="12"/>
            <color indexed="81"/>
            <rFont val="Arial"/>
            <family val="2"/>
          </rPr>
          <t>LAFFORT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8" authorId="1">
      <text>
        <r>
          <rPr>
            <sz val="14"/>
            <color indexed="81"/>
            <rFont val="Arial"/>
            <family val="2"/>
          </rPr>
          <t>Enartis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9" authorId="1">
      <text>
        <r>
          <rPr>
            <sz val="14"/>
            <color indexed="81"/>
            <rFont val="Arial"/>
            <family val="2"/>
          </rPr>
          <t>AB Biotek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1">
      <text>
        <r>
          <rPr>
            <b/>
            <sz val="9"/>
            <color indexed="81"/>
            <rFont val="Tahoma"/>
            <family val="2"/>
          </rPr>
          <t>RED FULL BODIED, Bottled in 18 Months:
1ST RACKING:– 100% BINDING.
2ND RACKING:–   50% BINDING.
MEDIUM BODIED RED, Bottled in12 Months:
1ST RACKING:–  50% BINDING.
WHITE FULL BODIED, Bottled in 12 Months:
1ST RACKING:– 10% BINDING.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5" authorId="1">
      <text>
        <r>
          <rPr>
            <b/>
            <sz val="9"/>
            <color indexed="81"/>
            <rFont val="Tahoma"/>
            <family val="2"/>
          </rPr>
          <t xml:space="preserve">1 Lb/1000 US Gal = 120 mg/L = 0.120 g/L
</t>
        </r>
      </text>
    </comment>
    <comment ref="F62" authorId="1">
      <text>
        <r>
          <rPr>
            <b/>
            <sz val="9"/>
            <color indexed="81"/>
            <rFont val="Tahoma"/>
            <family val="2"/>
          </rPr>
          <t>HYDROMETER STANDARD TEMPERATURE IS 20 °c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1">
      <text>
        <r>
          <rPr>
            <b/>
            <sz val="9"/>
            <color indexed="81"/>
            <rFont val="Tahoma"/>
            <family val="2"/>
          </rPr>
          <t>USDA 2011 TECHNICAL PROCEDURES MANUAL</t>
        </r>
      </text>
    </comment>
    <comment ref="H63" authorId="1">
      <text>
        <r>
          <rPr>
            <b/>
            <sz val="9"/>
            <color indexed="81"/>
            <rFont val="Tahoma"/>
            <family val="2"/>
          </rPr>
          <t>CONCENTRATION OF WINE USED TO ADJUST WINE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" authorId="1">
      <text>
        <r>
          <rPr>
            <b/>
            <sz val="9"/>
            <color indexed="81"/>
            <rFont val="Tahoma"/>
            <family val="2"/>
          </rPr>
          <t>PARTS OF WINE A TO BE USED TO ADJUST WINE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3" authorId="1">
      <text>
        <r>
          <rPr>
            <b/>
            <sz val="9"/>
            <color indexed="81"/>
            <rFont val="Tahoma"/>
            <family val="2"/>
          </rPr>
          <t>VOLUME OF WINE A  BLENDED WITH WINE B</t>
        </r>
      </text>
    </comment>
    <comment ref="I64" authorId="1">
      <text>
        <r>
          <rPr>
            <b/>
            <sz val="9"/>
            <color indexed="81"/>
            <rFont val="Tahoma"/>
            <family val="2"/>
          </rPr>
          <t>BLENDED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5" authorId="1">
      <text>
        <r>
          <rPr>
            <b/>
            <sz val="9"/>
            <color indexed="81"/>
            <rFont val="Tahoma"/>
            <family val="2"/>
          </rPr>
          <t>CONCENTRATION OF WINE TO BE ADJUSTED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1">
      <text>
        <r>
          <rPr>
            <b/>
            <sz val="9"/>
            <color indexed="81"/>
            <rFont val="Tahoma"/>
            <family val="2"/>
          </rPr>
          <t>PARTS OF WINE B TO BE ADJUSTED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5" authorId="1">
      <text>
        <r>
          <rPr>
            <b/>
            <sz val="9"/>
            <color indexed="81"/>
            <rFont val="Tahoma"/>
            <family val="2"/>
          </rPr>
          <t>VOLUME OF WINE B IN BLEND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8" authorId="1">
      <text>
        <r>
          <rPr>
            <b/>
            <sz val="12"/>
            <color indexed="81"/>
            <rFont val="Tahoma"/>
            <family val="2"/>
          </rPr>
          <t>Edit</t>
        </r>
        <r>
          <rPr>
            <sz val="12"/>
            <color indexed="81"/>
            <rFont val="Tahoma"/>
            <family val="2"/>
          </rPr>
          <t xml:space="preserve"> USE column to your dosage.</t>
        </r>
      </text>
    </comment>
    <comment ref="J68" authorId="1">
      <text>
        <r>
          <rPr>
            <b/>
            <sz val="12"/>
            <color indexed="81"/>
            <rFont val="Tahoma"/>
            <family val="2"/>
          </rPr>
          <t>Edit</t>
        </r>
        <r>
          <rPr>
            <sz val="12"/>
            <color indexed="81"/>
            <rFont val="Tahoma"/>
            <family val="2"/>
          </rPr>
          <t xml:space="preserve"> USE column to your dosage.</t>
        </r>
      </text>
    </comment>
    <comment ref="B69" authorId="3">
      <text>
        <r>
          <rPr>
            <sz val="12"/>
            <color indexed="81"/>
            <rFont val="Tahoma"/>
            <family val="2"/>
          </rPr>
          <t>At pH 3.30 and Molecular 0.8 yields 28 ppm Free SO</t>
        </r>
        <r>
          <rPr>
            <vertAlign val="subscript"/>
            <sz val="12"/>
            <color indexed="81"/>
            <rFont val="Tahoma"/>
            <family val="2"/>
          </rPr>
          <t xml:space="preserve">2 </t>
        </r>
      </text>
    </comment>
    <comment ref="A70" authorId="0">
      <text>
        <r>
          <rPr>
            <sz val="12"/>
            <color indexed="81"/>
            <rFont val="Tahoma"/>
            <family val="2"/>
          </rPr>
          <t>Dosage on weight of must.</t>
        </r>
      </text>
    </comment>
    <comment ref="G70" authorId="0">
      <text>
        <r>
          <rPr>
            <sz val="12"/>
            <color indexed="81"/>
            <rFont val="Tahoma"/>
            <family val="2"/>
          </rPr>
          <t>Dosage based on weight of must.</t>
        </r>
      </text>
    </comment>
    <comment ref="A71" authorId="0">
      <text>
        <r>
          <rPr>
            <sz val="12"/>
            <color indexed="81"/>
            <rFont val="Tahoma"/>
            <family val="2"/>
          </rPr>
          <t>Dosage on weight of must.</t>
        </r>
      </text>
    </comment>
    <comment ref="A72" authorId="0">
      <text>
        <r>
          <rPr>
            <sz val="12"/>
            <color indexed="81"/>
            <rFont val="Tahoma"/>
            <family val="2"/>
          </rPr>
          <t xml:space="preserve">Based on weight of must. 3—12 HRS
</t>
        </r>
      </text>
    </comment>
    <comment ref="G72" authorId="0">
      <text>
        <r>
          <rPr>
            <sz val="12"/>
            <color indexed="81"/>
            <rFont val="Tahoma"/>
            <family val="2"/>
          </rPr>
          <t>Dosage on volume of must.</t>
        </r>
      </text>
    </comment>
    <comment ref="G73" authorId="0">
      <text>
        <r>
          <rPr>
            <sz val="12"/>
            <color indexed="81"/>
            <rFont val="Tahoma"/>
            <family val="2"/>
          </rPr>
          <t>Dosage based on must volume.</t>
        </r>
      </text>
    </comment>
    <comment ref="A74" authorId="1">
      <text>
        <r>
          <rPr>
            <b/>
            <sz val="9"/>
            <color indexed="81"/>
            <rFont val="Tahoma"/>
            <family val="2"/>
          </rPr>
          <t>3—12 HRS</t>
        </r>
      </text>
    </comment>
    <comment ref="A75" authorId="0">
      <text>
        <r>
          <rPr>
            <sz val="12"/>
            <color indexed="81"/>
            <rFont val="Tahoma"/>
            <family val="2"/>
          </rPr>
          <t>Dosage on volume of must.</t>
        </r>
      </text>
    </comment>
    <comment ref="A76" authorId="0">
      <text>
        <r>
          <rPr>
            <sz val="12"/>
            <color indexed="81"/>
            <rFont val="Tahoma"/>
            <family val="2"/>
          </rPr>
          <t>Dosage on volume of must.</t>
        </r>
      </text>
    </comment>
    <comment ref="A77" authorId="0">
      <text>
        <r>
          <rPr>
            <sz val="12"/>
            <color indexed="81"/>
            <rFont val="Tahoma"/>
            <family val="2"/>
          </rPr>
          <t>Dosage based on volume of must.</t>
        </r>
      </text>
    </comment>
    <comment ref="G78" authorId="0">
      <text>
        <r>
          <rPr>
            <sz val="12"/>
            <color indexed="81"/>
            <rFont val="Tahoma"/>
            <family val="2"/>
          </rPr>
          <t xml:space="preserve">- Ve Calcium Bentonite for pH &lt;3.5  Presoaking not required. </t>
        </r>
      </text>
    </comment>
    <comment ref="A79" authorId="1">
      <text>
        <r>
          <rPr>
            <sz val="12"/>
            <color indexed="81"/>
            <rFont val="Tahoma"/>
            <family val="2"/>
          </rPr>
          <t>Acti-ML into 5 times its weight in 20°C chlorine free water, wait 15 minutes before adding MLB to rehydration water.</t>
        </r>
      </text>
    </comment>
    <comment ref="G79" authorId="1">
      <text>
        <r>
          <rPr>
            <sz val="12"/>
            <color indexed="81"/>
            <rFont val="Tahoma"/>
            <family val="2"/>
          </rPr>
          <t>- Ve Calcium—Sodium Bentonite for pH &gt;3.5 Presoaking not required.</t>
        </r>
      </text>
    </comment>
    <comment ref="A80" authorId="1">
      <text>
        <r>
          <rPr>
            <sz val="12"/>
            <color indexed="81"/>
            <rFont val="Tahoma"/>
            <family val="2"/>
          </rPr>
          <t xml:space="preserve">Suspend in a small amount of water and add directly to must before adding ML bacteria. </t>
        </r>
        <r>
          <rPr>
            <b/>
            <sz val="12"/>
            <color indexed="81"/>
            <rFont val="Tahoma"/>
            <family val="2"/>
          </rPr>
          <t>Do Not</t>
        </r>
        <r>
          <rPr>
            <sz val="12"/>
            <color indexed="81"/>
            <rFont val="Tahoma"/>
            <family val="2"/>
          </rPr>
          <t xml:space="preserve"> add to rehydration water.</t>
        </r>
      </text>
    </comment>
    <comment ref="G80" authorId="0">
      <text>
        <r>
          <rPr>
            <sz val="12"/>
            <color indexed="81"/>
            <rFont val="Tahoma"/>
            <family val="2"/>
          </rPr>
          <t>+ Ve Hot Mix for wine. Boil for 15 min in 250 mL water. Add warm.</t>
        </r>
      </text>
    </comment>
    <comment ref="G82" authorId="0">
      <text>
        <r>
          <rPr>
            <sz val="12"/>
            <color indexed="81"/>
            <rFont val="Tahoma"/>
            <family val="2"/>
          </rPr>
          <t>+ Ve Silica suspension</t>
        </r>
      </text>
    </comment>
    <comment ref="G83" authorId="1">
      <text>
        <r>
          <rPr>
            <sz val="9"/>
            <color indexed="81"/>
            <rFont val="Tahoma"/>
            <family val="2"/>
          </rPr>
          <t>ATTB limit is 0.5 g/L</t>
        </r>
      </text>
    </comment>
    <comment ref="A84" authorId="0">
      <text>
        <r>
          <rPr>
            <sz val="12"/>
            <color indexed="81"/>
            <rFont val="Tahoma"/>
            <family val="2"/>
          </rPr>
          <t>+ Ve Isinglass and citric acid stabilized with potassium metabisulfite. Soak for 3 hrs in water.</t>
        </r>
      </text>
    </comment>
    <comment ref="A85" authorId="1">
      <text>
        <r>
          <rPr>
            <sz val="9"/>
            <color indexed="81"/>
            <rFont val="Tahoma"/>
            <family val="2"/>
          </rPr>
          <t>+ Ve</t>
        </r>
      </text>
    </comment>
    <comment ref="A86" authorId="1">
      <text>
        <r>
          <rPr>
            <sz val="9"/>
            <color indexed="81"/>
            <rFont val="Tahoma"/>
            <family val="2"/>
          </rPr>
          <t>ATTB Limit is 0.24 g/L</t>
        </r>
      </text>
    </comment>
    <comment ref="A87" authorId="1">
      <text>
        <r>
          <rPr>
            <sz val="9"/>
            <color indexed="81"/>
            <rFont val="Tahoma"/>
            <family val="2"/>
          </rPr>
          <t>SUSPEN IN WATER AT A RATIO OF 1:20.
MIX WELL AND OFTEN.
ADD FIRST IF OTHER FINING AGENTS TO BE ADDED.</t>
        </r>
      </text>
    </comment>
    <comment ref="A88" authorId="1">
      <text>
        <r>
          <rPr>
            <sz val="9"/>
            <color indexed="81"/>
            <rFont val="Tahoma"/>
            <family val="2"/>
          </rPr>
          <t xml:space="preserve">SUSPEND  IN WINE AT A RATIO OF 1:3. 
MIX WELL FOR 2 DAYS..
</t>
        </r>
      </text>
    </comment>
    <comment ref="A89" authorId="1">
      <text>
        <r>
          <rPr>
            <sz val="9"/>
            <color indexed="81"/>
            <rFont val="Tahoma"/>
            <family val="2"/>
          </rPr>
          <t>ADD DIRECTLY TO FINISHED WINE FOR BEST RESULTS.. ADD  AFTER OTHER FINING AGENTS. 
MIX WHILE ADDING.</t>
        </r>
      </text>
    </comment>
    <comment ref="B92" authorId="1">
      <text>
        <r>
          <rPr>
            <b/>
            <sz val="9"/>
            <color indexed="81"/>
            <rFont val="Tahoma"/>
            <family val="2"/>
          </rPr>
          <t>24 hr time
16:15:30</t>
        </r>
      </text>
    </comment>
  </commentList>
</comments>
</file>

<file path=xl/sharedStrings.xml><?xml version="1.0" encoding="utf-8"?>
<sst xmlns="http://schemas.openxmlformats.org/spreadsheetml/2006/main" count="438" uniqueCount="361">
  <si>
    <t>MUST / YEAST NUTRIENT CALCULATIONS</t>
  </si>
  <si>
    <t>by Willem Wyngaards</t>
  </si>
  <si>
    <t xml:space="preserve">  Vineyard:—</t>
  </si>
  <si>
    <t>Red Brick, Osoyoos</t>
  </si>
  <si>
    <t>Picked:—</t>
  </si>
  <si>
    <t>Weight:—</t>
  </si>
  <si>
    <t>175 Lbs</t>
  </si>
  <si>
    <t>2023 Viognier</t>
  </si>
  <si>
    <t>Chris Hanson, Osoyoos, B.C.</t>
  </si>
  <si>
    <t>° Brix:—</t>
  </si>
  <si>
    <t>23.6</t>
  </si>
  <si>
    <t>Cost:—</t>
  </si>
  <si>
    <r>
      <t xml:space="preserve">     </t>
    </r>
    <r>
      <rPr>
        <b/>
        <sz val="12"/>
        <rFont val="Arial"/>
        <family val="2"/>
      </rPr>
      <t xml:space="preserve"> NOTE:—</t>
    </r>
    <r>
      <rPr>
        <b/>
        <sz val="12"/>
        <color indexed="12"/>
        <rFont val="Arial"/>
        <family val="2"/>
      </rPr>
      <t xml:space="preserve"> </t>
    </r>
    <r>
      <rPr>
        <b/>
        <sz val="12"/>
        <color rgb="FF008A00"/>
        <rFont val="Arial"/>
        <family val="2"/>
      </rPr>
      <t xml:space="preserve"> EDIT GREEN CELLS</t>
    </r>
    <r>
      <rPr>
        <b/>
        <sz val="12"/>
        <color indexed="12"/>
        <rFont val="Arial"/>
        <family val="2"/>
      </rPr>
      <t xml:space="preserve">  — THE BLUE NUMBERS ARE CALCULATED AND LOCKED</t>
    </r>
  </si>
  <si>
    <t>PAIL VOLUME</t>
  </si>
  <si>
    <t>GRAPE WEIGHT</t>
  </si>
  <si>
    <t>PAIL I.D.</t>
  </si>
  <si>
    <r>
      <t xml:space="preserve">Pail Freeboard
</t>
    </r>
    <r>
      <rPr>
        <b/>
        <sz val="12"/>
        <rFont val="Arial"/>
        <family val="2"/>
      </rPr>
      <t>mm</t>
    </r>
  </si>
  <si>
    <t>Volume
Juice
L</t>
  </si>
  <si>
    <r>
      <t xml:space="preserve">Pail Freeboard
 </t>
    </r>
    <r>
      <rPr>
        <b/>
        <sz val="12"/>
        <rFont val="Arial"/>
        <family val="2"/>
      </rPr>
      <t>mm</t>
    </r>
  </si>
  <si>
    <t>PAIL WEIGHT
LBS</t>
  </si>
  <si>
    <t>PAIL TARE
LBS</t>
  </si>
  <si>
    <t>GRAPE
WEIGHT
LBS</t>
  </si>
  <si>
    <t>A</t>
  </si>
  <si>
    <t>E</t>
  </si>
  <si>
    <t>B</t>
  </si>
  <si>
    <t>F</t>
  </si>
  <si>
    <t>C</t>
  </si>
  <si>
    <t>H</t>
  </si>
  <si>
    <t>MUST TOTAL Litres</t>
  </si>
  <si>
    <t xml:space="preserve"> PRESSED TOTAL Litres</t>
  </si>
  <si>
    <t xml:space="preserve"> De STEMED TOTAL Weight</t>
  </si>
  <si>
    <t>VOLUME ESTIMATE</t>
  </si>
  <si>
    <t>POTASSIUM SORBATE</t>
  </si>
  <si>
    <t>Grape</t>
  </si>
  <si>
    <r>
      <t xml:space="preserve">Grape
Weight
</t>
    </r>
    <r>
      <rPr>
        <b/>
        <sz val="12"/>
        <rFont val="Arial"/>
        <family val="2"/>
      </rPr>
      <t>lbs</t>
    </r>
  </si>
  <si>
    <r>
      <t xml:space="preserve">Juice 
Volume
Estimate
</t>
    </r>
    <r>
      <rPr>
        <b/>
        <sz val="12"/>
        <color rgb="FF060CFA"/>
        <rFont val="Arial"/>
        <family val="2"/>
      </rPr>
      <t>L</t>
    </r>
  </si>
  <si>
    <t xml:space="preserve"> °Brix</t>
  </si>
  <si>
    <r>
      <t xml:space="preserve">Potential
Alcohol
</t>
    </r>
    <r>
      <rPr>
        <b/>
        <sz val="12"/>
        <color rgb="FF060CFA"/>
        <rFont val="Arial"/>
        <family val="2"/>
      </rPr>
      <t>% ABV</t>
    </r>
  </si>
  <si>
    <r>
      <t xml:space="preserve">Number 
of Bottles
</t>
    </r>
    <r>
      <rPr>
        <b/>
        <sz val="12"/>
        <color rgb="FF060CFA"/>
        <rFont val="Arial"/>
        <family val="2"/>
      </rPr>
      <t>750 mL</t>
    </r>
  </si>
  <si>
    <t>pH</t>
  </si>
  <si>
    <t xml:space="preserve"> ° BRIX</t>
  </si>
  <si>
    <t>YEAST
g/L</t>
  </si>
  <si>
    <t>ABV           %</t>
  </si>
  <si>
    <t>Volume      L</t>
  </si>
  <si>
    <t>P. Sorbate g</t>
  </si>
  <si>
    <t>MUST CHAPTILIZATION CALCULATOR</t>
  </si>
  <si>
    <t xml:space="preserve">REHYDRATION CALCULATOR / MUST BLENDING </t>
  </si>
  <si>
    <r>
      <t xml:space="preserve">Juice Volume 
</t>
    </r>
    <r>
      <rPr>
        <b/>
        <sz val="12"/>
        <rFont val="Arial"/>
        <family val="2"/>
      </rPr>
      <t>L</t>
    </r>
  </si>
  <si>
    <r>
      <t>Original 
 °</t>
    </r>
    <r>
      <rPr>
        <b/>
        <sz val="11"/>
        <rFont val="Arial"/>
        <family val="2"/>
      </rPr>
      <t>Brix</t>
    </r>
  </si>
  <si>
    <r>
      <t xml:space="preserve">Desired
</t>
    </r>
    <r>
      <rPr>
        <b/>
        <sz val="11"/>
        <rFont val="Arial"/>
        <family val="2"/>
      </rPr>
      <t>Brix</t>
    </r>
  </si>
  <si>
    <r>
      <t xml:space="preserve">Sugar 
</t>
    </r>
    <r>
      <rPr>
        <b/>
        <sz val="11"/>
        <color rgb="FF060CFA"/>
        <rFont val="Arial"/>
        <family val="2"/>
      </rPr>
      <t>Kg</t>
    </r>
  </si>
  <si>
    <r>
      <t xml:space="preserve">New
</t>
    </r>
    <r>
      <rPr>
        <b/>
        <sz val="12"/>
        <color rgb="FF060CFA"/>
        <rFont val="Arial"/>
        <family val="2"/>
      </rPr>
      <t>Volume</t>
    </r>
  </si>
  <si>
    <t>Volume 
L</t>
  </si>
  <si>
    <t>°Brix</t>
  </si>
  <si>
    <t>TA 
g/L</t>
  </si>
  <si>
    <t>Malic Acid
g/L</t>
  </si>
  <si>
    <t>YAN 
mgN/L</t>
  </si>
  <si>
    <t xml:space="preserve">Juice  </t>
  </si>
  <si>
    <t xml:space="preserve">Water </t>
  </si>
  <si>
    <r>
      <rPr>
        <b/>
        <sz val="11"/>
        <rFont val="Arial"/>
        <family val="2"/>
      </rPr>
      <t>Lbs</t>
    </r>
    <r>
      <rPr>
        <b/>
        <sz val="10"/>
        <rFont val="Arial"/>
        <family val="2"/>
      </rPr>
      <t xml:space="preserve">
Juice Weight</t>
    </r>
  </si>
  <si>
    <r>
      <rPr>
        <b/>
        <sz val="11"/>
        <rFont val="Arial"/>
        <family val="2"/>
      </rPr>
      <t>Brix</t>
    </r>
    <r>
      <rPr>
        <b/>
        <sz val="10"/>
        <rFont val="Arial"/>
        <family val="2"/>
      </rPr>
      <t xml:space="preserve">
Original</t>
    </r>
  </si>
  <si>
    <r>
      <rPr>
        <b/>
        <sz val="11"/>
        <rFont val="Arial"/>
        <family val="2"/>
      </rPr>
      <t>Brix</t>
    </r>
    <r>
      <rPr>
        <b/>
        <sz val="10"/>
        <rFont val="Arial"/>
        <family val="2"/>
      </rPr>
      <t xml:space="preserve">
Desired</t>
    </r>
  </si>
  <si>
    <r>
      <rPr>
        <b/>
        <sz val="11"/>
        <color rgb="FF060CFA"/>
        <rFont val="Arial"/>
        <family val="2"/>
      </rPr>
      <t>Lbs</t>
    </r>
    <r>
      <rPr>
        <b/>
        <sz val="10"/>
        <color rgb="FF060CFA"/>
        <rFont val="Arial"/>
        <family val="2"/>
      </rPr>
      <t xml:space="preserve">
Sugar</t>
    </r>
  </si>
  <si>
    <t xml:space="preserve">Final    </t>
  </si>
  <si>
    <t>NUTRIENT and YEAST CALCULATIONS</t>
  </si>
  <si>
    <t xml:space="preserve"> </t>
  </si>
  <si>
    <t xml:space="preserve">        FERMAID K, FERMAID O, FERMAX DISTRIBUTION</t>
  </si>
  <si>
    <t xml:space="preserve">°Brix </t>
  </si>
  <si>
    <t>Volume  L</t>
  </si>
  <si>
    <t>START
UP</t>
  </si>
  <si>
    <t>2 ND</t>
  </si>
  <si>
    <t>3 RD</t>
  </si>
  <si>
    <t>1/3 °Brix
Drop</t>
  </si>
  <si>
    <t>TOTALS</t>
  </si>
  <si>
    <t xml:space="preserve">YEAST
STRAIN </t>
  </si>
  <si>
    <t>YAN SUPPLIED
BY GRAPE</t>
  </si>
  <si>
    <r>
      <t xml:space="preserve">Target YAN
</t>
    </r>
    <r>
      <rPr>
        <b/>
        <sz val="11"/>
        <color rgb="FF060CFA"/>
        <rFont val="Arial"/>
        <family val="2"/>
      </rPr>
      <t>mgN/L</t>
    </r>
  </si>
  <si>
    <t>YAN
DEFICIENCY</t>
  </si>
  <si>
    <t xml:space="preserve">SPLITS     %  </t>
  </si>
  <si>
    <r>
      <t xml:space="preserve">Fermaid K   </t>
    </r>
    <r>
      <rPr>
        <b/>
        <sz val="11"/>
        <color rgb="FF060CFA"/>
        <rFont val="Arial"/>
        <family val="2"/>
      </rPr>
      <t>g</t>
    </r>
  </si>
  <si>
    <t>Nitrogen
 Source</t>
  </si>
  <si>
    <r>
      <t xml:space="preserve">Trial Addition
</t>
    </r>
    <r>
      <rPr>
        <b/>
        <sz val="11"/>
        <rFont val="Arial"/>
        <family val="2"/>
      </rPr>
      <t>g/L</t>
    </r>
  </si>
  <si>
    <r>
      <t xml:space="preserve">YAN
Yields
</t>
    </r>
    <r>
      <rPr>
        <b/>
        <sz val="11"/>
        <color rgb="FF060CFA"/>
        <rFont val="Arial"/>
        <family val="2"/>
      </rPr>
      <t>mgN/L</t>
    </r>
  </si>
  <si>
    <r>
      <rPr>
        <b/>
        <sz val="11"/>
        <color rgb="FF060CFA"/>
        <rFont val="Arial"/>
        <family val="2"/>
      </rPr>
      <t>Grams</t>
    </r>
    <r>
      <rPr>
        <b/>
        <sz val="10"/>
        <color rgb="FF060CFA"/>
        <rFont val="Arial"/>
        <family val="2"/>
      </rPr>
      <t xml:space="preserve">
for Total
Volume</t>
    </r>
  </si>
  <si>
    <r>
      <t xml:space="preserve">Fermaid O   </t>
    </r>
    <r>
      <rPr>
        <b/>
        <sz val="11"/>
        <color rgb="FF060CFA"/>
        <rFont val="Arial"/>
        <family val="2"/>
      </rPr>
      <t>g</t>
    </r>
  </si>
  <si>
    <r>
      <t xml:space="preserve">Fermax       </t>
    </r>
    <r>
      <rPr>
        <b/>
        <sz val="11"/>
        <color rgb="FF060CFA"/>
        <rFont val="Arial"/>
        <family val="2"/>
      </rPr>
      <t xml:space="preserve">g     </t>
    </r>
  </si>
  <si>
    <t xml:space="preserve">  Yeast</t>
  </si>
  <si>
    <t>~</t>
  </si>
  <si>
    <r>
      <t xml:space="preserve">CUMULATIVE </t>
    </r>
    <r>
      <rPr>
        <b/>
        <sz val="11"/>
        <color rgb="FF060CFA"/>
        <rFont val="Arial"/>
        <family val="2"/>
      </rPr>
      <t>mgN/L</t>
    </r>
  </si>
  <si>
    <t xml:space="preserve">  GoFerm</t>
  </si>
  <si>
    <t>DAP DISTRIBUTION</t>
  </si>
  <si>
    <t xml:space="preserve">  Fermaid K</t>
  </si>
  <si>
    <t xml:space="preserve">SPLITS  %  </t>
  </si>
  <si>
    <t xml:space="preserve">  Fermaid O</t>
  </si>
  <si>
    <r>
      <t xml:space="preserve">               DAP         </t>
    </r>
    <r>
      <rPr>
        <b/>
        <sz val="11"/>
        <color rgb="FF060CFA"/>
        <rFont val="Arial"/>
        <family val="2"/>
      </rPr>
      <t xml:space="preserve">g       </t>
    </r>
  </si>
  <si>
    <t xml:space="preserve">  Fermax</t>
  </si>
  <si>
    <r>
      <t xml:space="preserve">          DAP TOTALS            </t>
    </r>
    <r>
      <rPr>
        <b/>
        <sz val="11"/>
        <color rgb="FF060CFA"/>
        <rFont val="Arial"/>
        <family val="2"/>
      </rPr>
      <t xml:space="preserve">mgN/L </t>
    </r>
  </si>
  <si>
    <r>
      <t xml:space="preserve">          DAP Plus ORGANIC  </t>
    </r>
    <r>
      <rPr>
        <b/>
        <sz val="11"/>
        <color rgb="FF060CFA"/>
        <rFont val="Arial"/>
        <family val="2"/>
      </rPr>
      <t xml:space="preserve">mgN/L </t>
    </r>
  </si>
  <si>
    <t xml:space="preserve">Target </t>
  </si>
  <si>
    <t xml:space="preserve">  DAP</t>
  </si>
  <si>
    <t>° Brix of Must</t>
  </si>
  <si>
    <t>YAN Level</t>
  </si>
  <si>
    <t xml:space="preserve"> YAN Target Level = (Brix° X 7.5 mgN/L)</t>
  </si>
  <si>
    <t>TOTAL NUTRIENTS ADDED (mgN/L)</t>
  </si>
  <si>
    <t>ACID CALCULATIONS</t>
  </si>
  <si>
    <t>ADJUST COL. B VALUES UNTIL C40 VALUE EQUALS VALUE IN CELL D30</t>
  </si>
  <si>
    <t>Alcoholic Fermentation</t>
  </si>
  <si>
    <t xml:space="preserve"> TA                                  g/L</t>
  </si>
  <si>
    <t xml:space="preserve">Malic Acid Reducing Yeast  </t>
  </si>
  <si>
    <t xml:space="preserve"> Alcohol                    % ABV</t>
  </si>
  <si>
    <t>SULPHITE CALCULATION</t>
  </si>
  <si>
    <t>REFRACTOMER ALCOHOL
 CORRECTION</t>
  </si>
  <si>
    <t>71B</t>
  </si>
  <si>
    <t xml:space="preserve">20—40%  </t>
  </si>
  <si>
    <t xml:space="preserve"> Malic Acid                     g/L</t>
  </si>
  <si>
    <t xml:space="preserve">pH </t>
  </si>
  <si>
    <t>Lalvin C</t>
  </si>
  <si>
    <t xml:space="preserve">   —45%</t>
  </si>
  <si>
    <r>
      <t xml:space="preserve"> Malic Acid Reduction   </t>
    </r>
    <r>
      <rPr>
        <b/>
        <sz val="14"/>
        <rFont val="Arial"/>
        <family val="2"/>
      </rPr>
      <t>%</t>
    </r>
  </si>
  <si>
    <t>Alcohol % ABV</t>
  </si>
  <si>
    <t xml:space="preserve"> Starting     °Brix </t>
  </si>
  <si>
    <t>Adante</t>
  </si>
  <si>
    <t xml:space="preserve">25—30%  </t>
  </si>
  <si>
    <t xml:space="preserve"> TA after Fermentation      g/L</t>
  </si>
  <si>
    <t>Additional yeasts may be added by editing the Lookup table by inserting new rows,</t>
  </si>
  <si>
    <t xml:space="preserve">Temp.          °C </t>
  </si>
  <si>
    <t xml:space="preserve">Observed  °Brix </t>
  </si>
  <si>
    <t>BO213</t>
  </si>
  <si>
    <t xml:space="preserve">40—80% </t>
  </si>
  <si>
    <t>Malolactic Fermentation</t>
  </si>
  <si>
    <t xml:space="preserve"> also the multiplier may be edited to your preference. BUT the table must be sorted by the 1st column in ascending order.</t>
  </si>
  <si>
    <r>
      <t>Molecular SO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 </t>
    </r>
  </si>
  <si>
    <t xml:space="preserve">Adjusted   °Brix </t>
  </si>
  <si>
    <t>ES401</t>
  </si>
  <si>
    <t xml:space="preserve">   —25%</t>
  </si>
  <si>
    <t xml:space="preserve"> ENTER YES IF MLF</t>
  </si>
  <si>
    <t xml:space="preserve"> Enter new yeast in the middle of the column and re-sort the table.</t>
  </si>
  <si>
    <t xml:space="preserve">Volume         L </t>
  </si>
  <si>
    <t xml:space="preserve">Calculated    SG </t>
  </si>
  <si>
    <t>Maurivin B</t>
  </si>
  <si>
    <t xml:space="preserve">   —55%</t>
  </si>
  <si>
    <t xml:space="preserve"> TA after MLF                 g/L</t>
  </si>
  <si>
    <t xml:space="preserve"> Right click on A30 and choose Format Control  to edit. </t>
  </si>
  <si>
    <r>
      <t xml:space="preserve">              FSO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(Initial)        ppm     </t>
    </r>
  </si>
  <si>
    <t xml:space="preserve">Estimate % ABV </t>
  </si>
  <si>
    <t xml:space="preserve"> Tartaric Acid Addition   g/L</t>
  </si>
  <si>
    <t xml:space="preserve">              Percent Lost to Binding</t>
  </si>
  <si>
    <t xml:space="preserve"> Volume                            L</t>
  </si>
  <si>
    <r>
      <t xml:space="preserve">              FSO</t>
    </r>
    <r>
      <rPr>
        <b/>
        <vertAlign val="subscript"/>
        <sz val="12"/>
        <color rgb="FF002570"/>
        <rFont val="Arial"/>
        <family val="2"/>
      </rPr>
      <t>2</t>
    </r>
    <r>
      <rPr>
        <b/>
        <sz val="12"/>
        <color rgb="FF002570"/>
        <rFont val="Arial"/>
        <family val="2"/>
      </rPr>
      <t xml:space="preserve"> (Target)       ppm</t>
    </r>
  </si>
  <si>
    <t xml:space="preserve"> Total Tartaric Acid        g</t>
  </si>
  <si>
    <t>YEAST MULTIPLIER VALUES</t>
  </si>
  <si>
    <t xml:space="preserve">              KMBS                       g</t>
  </si>
  <si>
    <t xml:space="preserve"> TA after Acid                g/L</t>
  </si>
  <si>
    <t>YEAST TABLE</t>
  </si>
  <si>
    <t>Scott
Lab</t>
  </si>
  <si>
    <t xml:space="preserve">              10 % KMBS            mL</t>
  </si>
  <si>
    <t>BENCH TRIALS CALCULATOR</t>
  </si>
  <si>
    <t xml:space="preserve"> Red Table         Min Molecular</t>
  </si>
  <si>
    <r>
      <t>0.5 MSO</t>
    </r>
    <r>
      <rPr>
        <b/>
        <vertAlign val="subscript"/>
        <sz val="12"/>
        <color theme="1"/>
        <rFont val="Arial"/>
        <family val="2"/>
      </rPr>
      <t>2</t>
    </r>
  </si>
  <si>
    <t xml:space="preserve">TARGET DOSAGE in ppm      mg/L  </t>
  </si>
  <si>
    <t>Low</t>
  </si>
  <si>
    <t xml:space="preserve">    White Table     Max Molecular</t>
  </si>
  <si>
    <r>
      <t>0.8 MSO</t>
    </r>
    <r>
      <rPr>
        <b/>
        <vertAlign val="subscript"/>
        <sz val="12"/>
        <color theme="1"/>
        <rFont val="Arial"/>
        <family val="2"/>
      </rPr>
      <t>2</t>
    </r>
  </si>
  <si>
    <t xml:space="preserve">SAMPLE VOLUME                      mL  </t>
  </si>
  <si>
    <t>g/L</t>
  </si>
  <si>
    <t>WINE FREEZING TEMP</t>
  </si>
  <si>
    <t>Med</t>
  </si>
  <si>
    <t xml:space="preserve">Red means data by:— J.M.Sablayrolles INRA-IPV, Montpellier, France, </t>
  </si>
  <si>
    <t xml:space="preserve">  STOCK CONCENTRATION         %  </t>
  </si>
  <si>
    <t xml:space="preserve"> Alcohol %</t>
  </si>
  <si>
    <t xml:space="preserve"> Air °C 
Temperature</t>
  </si>
  <si>
    <t>CONVERT</t>
  </si>
  <si>
    <t xml:space="preserve">VOLUME STOCK SOLUTION    mL  </t>
  </si>
  <si>
    <t>58W3</t>
  </si>
  <si>
    <t>CELSIUS</t>
  </si>
  <si>
    <t>FAHRENHEIT</t>
  </si>
  <si>
    <t xml:space="preserve">Scott Lab descriptor of Low, Med, High, Nitrogen needs were assigned multiplier values </t>
  </si>
  <si>
    <t>HYDROMETER</t>
  </si>
  <si>
    <t>AMH</t>
  </si>
  <si>
    <t>.i.e. EC 1118, K1 V1116, are rated Low by Scott Lab and was tested at 1.20, 1.30 by Sablayrolles.</t>
  </si>
  <si>
    <t>LITRES</t>
  </si>
  <si>
    <t>US GALLONS</t>
  </si>
  <si>
    <t>TEMPERATURE CORRECTION</t>
  </si>
  <si>
    <t>PEARSON SQUARE</t>
  </si>
  <si>
    <t>Ba11</t>
  </si>
  <si>
    <t>High</t>
  </si>
  <si>
    <t>BM 4X4 tested at 1.80. respectively by J.M. Sablayrolles.</t>
  </si>
  <si>
    <t>Temperature °C</t>
  </si>
  <si>
    <t>WINES</t>
  </si>
  <si>
    <t>TARGET</t>
  </si>
  <si>
    <t>PARTS</t>
  </si>
  <si>
    <t>VOLUMES</t>
  </si>
  <si>
    <t>BDX</t>
  </si>
  <si>
    <t>S.G.</t>
  </si>
  <si>
    <t>° BRIX</t>
  </si>
  <si>
    <t>Hydrometer °Bx</t>
  </si>
  <si>
    <t xml:space="preserve">A  </t>
  </si>
  <si>
    <t>BM 4X4</t>
  </si>
  <si>
    <t>Corrected °Brix</t>
  </si>
  <si>
    <t>BM45</t>
  </si>
  <si>
    <t>Lb/1000 US Gal</t>
  </si>
  <si>
    <t xml:space="preserve">B  </t>
  </si>
  <si>
    <t>Clos</t>
  </si>
  <si>
    <t>Ratings are adjusted to Scott Lab 2020 Fermentation Handbook</t>
  </si>
  <si>
    <t>TOTAL</t>
  </si>
  <si>
    <t>CY 3079</t>
  </si>
  <si>
    <t>Scott Lab low rating is assigned a value of 7.5 mgN/L x °Brix =1</t>
  </si>
  <si>
    <t>ADJUNCTS TABLE</t>
  </si>
  <si>
    <t>D21</t>
  </si>
  <si>
    <t>Scott Lab medium rating is assigned a value of 9 mgN/L x °Brix.  Multiplier 9/7.5=1.2</t>
  </si>
  <si>
    <t>Ingredient</t>
  </si>
  <si>
    <t>Recommended
Dosage</t>
  </si>
  <si>
    <t>USE</t>
  </si>
  <si>
    <t>Amount to
Add
Grams or mL</t>
  </si>
  <si>
    <t xml:space="preserve">ENTER 
</t>
  </si>
  <si>
    <t>Recommended Dosage</t>
  </si>
  <si>
    <t>D254</t>
  </si>
  <si>
    <t>Scott Lab high rating is assigned a value of 12.5 mgN/L x °Brix. Multiplier is 12.5/7.5=1.67</t>
  </si>
  <si>
    <t xml:space="preserve">  KMBS at crush</t>
  </si>
  <si>
    <t>0.015 g/lb</t>
  </si>
  <si>
    <t>VOLUME in Litres</t>
  </si>
  <si>
    <t>Whites</t>
  </si>
  <si>
    <t>Reds</t>
  </si>
  <si>
    <t>D47</t>
  </si>
  <si>
    <t xml:space="preserve">  Lallzyme EX–V</t>
  </si>
  <si>
    <t>0.005—0.01 g/lb</t>
  </si>
  <si>
    <t xml:space="preserve"> Color Pro</t>
  </si>
  <si>
    <t>0.0075–0.015 mL/lb</t>
  </si>
  <si>
    <t>0.03—0.05 mL/lb</t>
  </si>
  <si>
    <t>D80</t>
  </si>
  <si>
    <t xml:space="preserve">  Lallzyme EX</t>
  </si>
  <si>
    <t>0.0075—0.015 g/lb</t>
  </si>
  <si>
    <t>WEIGHT in Pounds</t>
  </si>
  <si>
    <t xml:space="preserve"> Scottzyme KS</t>
  </si>
  <si>
    <t>0.026—0.04 mL/L</t>
  </si>
  <si>
    <t>0.05—0.08 mL</t>
  </si>
  <si>
    <t>DV10</t>
  </si>
  <si>
    <t xml:space="preserve">  Cuvée Blanc</t>
  </si>
  <si>
    <t>0.033–0.055 g/Lb</t>
  </si>
  <si>
    <t xml:space="preserve"> VR Supra</t>
  </si>
  <si>
    <t>0.30—0.50 g/L</t>
  </si>
  <si>
    <t>EC 1118</t>
  </si>
  <si>
    <t xml:space="preserve">  Cinn–Free</t>
  </si>
  <si>
    <t>0.0075—0.015 mL/lb</t>
  </si>
  <si>
    <t xml:space="preserve"> FT Blanc Soft</t>
  </si>
  <si>
    <t>0.05—0.15 g/L</t>
  </si>
  <si>
    <t>0.05—0.30 g/L</t>
  </si>
  <si>
    <t>ES 454</t>
  </si>
  <si>
    <t xml:space="preserve">  C–MAX</t>
  </si>
  <si>
    <t>0.005—0.02 g/L</t>
  </si>
  <si>
    <t xml:space="preserve"> Tannin Riche</t>
  </si>
  <si>
    <t>0.03—0.07 g/L</t>
  </si>
  <si>
    <t>0.03—0.20 g/L</t>
  </si>
  <si>
    <t>GRE</t>
  </si>
  <si>
    <t xml:space="preserve">  FT Rouge</t>
  </si>
  <si>
    <t>0.20—0.50 g/L</t>
  </si>
  <si>
    <t xml:space="preserve"> Booster Blanc</t>
  </si>
  <si>
    <t>0.30—0.40 g/L</t>
  </si>
  <si>
    <t>K1 V1116</t>
  </si>
  <si>
    <t xml:space="preserve">  Opti–Red</t>
  </si>
  <si>
    <t>0.114—0.30 g/L</t>
  </si>
  <si>
    <t xml:space="preserve"> Tannin Riche Extra</t>
  </si>
  <si>
    <t>0.05—0.10 g/L</t>
  </si>
  <si>
    <t>0.05—0.20 g/L</t>
  </si>
  <si>
    <t>L2056</t>
  </si>
  <si>
    <t xml:space="preserve">  Booster Rouge</t>
  </si>
  <si>
    <t xml:space="preserve"> Bentonite</t>
  </si>
  <si>
    <t>0.20 g/L</t>
  </si>
  <si>
    <t>0.50 g/L</t>
  </si>
  <si>
    <t>MT</t>
  </si>
  <si>
    <t xml:space="preserve">  Opti–White</t>
  </si>
  <si>
    <t>0.25—0.50 g/L</t>
  </si>
  <si>
    <t xml:space="preserve"> Albumex Bentonite</t>
  </si>
  <si>
    <t>1.0—3.0 g/L</t>
  </si>
  <si>
    <t>Opal</t>
  </si>
  <si>
    <t xml:space="preserve">  Acti–Malo</t>
  </si>
  <si>
    <t xml:space="preserve"> Canaton Bentonite</t>
  </si>
  <si>
    <t>QA23</t>
  </si>
  <si>
    <t xml:space="preserve">  Opti'Malo</t>
  </si>
  <si>
    <t xml:space="preserve"> Sparkalloid</t>
  </si>
  <si>
    <t>0.12—0.48 g/L</t>
  </si>
  <si>
    <t>R2</t>
  </si>
  <si>
    <t xml:space="preserve">  Noblesse</t>
  </si>
  <si>
    <t>0.10—0.30 g/L</t>
  </si>
  <si>
    <t xml:space="preserve"> Colle Perle</t>
  </si>
  <si>
    <t>0.80–1.50 g/L</t>
  </si>
  <si>
    <t>RBS 133</t>
  </si>
  <si>
    <t xml:space="preserve">  Reduless</t>
  </si>
  <si>
    <t>0.10—0.15 g/L</t>
  </si>
  <si>
    <t xml:space="preserve"> Gelocolle</t>
  </si>
  <si>
    <t>0.2–1.0 g/L</t>
  </si>
  <si>
    <t>RC212</t>
  </si>
  <si>
    <t xml:space="preserve">  Kupzit</t>
  </si>
  <si>
    <t xml:space="preserve"> Lysozyme</t>
  </si>
  <si>
    <t>R–HST</t>
  </si>
  <si>
    <t xml:space="preserve">  Cristalline Plus</t>
  </si>
  <si>
    <t>0.015—0.03 g/L</t>
  </si>
  <si>
    <t xml:space="preserve"> Polycacel</t>
  </si>
  <si>
    <t>0.15—0.70g/L</t>
  </si>
  <si>
    <t>RP15</t>
  </si>
  <si>
    <t xml:space="preserve">  Gelatin</t>
  </si>
  <si>
    <t>0.05—0.09 g/L</t>
  </si>
  <si>
    <t xml:space="preserve"> Polyclar VT (PVPP)</t>
  </si>
  <si>
    <t>0.13—0.66 g/L</t>
  </si>
  <si>
    <t>Syrah</t>
  </si>
  <si>
    <t xml:space="preserve">  Gum Arabic</t>
  </si>
  <si>
    <t>0.2—1.0 mL/L</t>
  </si>
  <si>
    <t xml:space="preserve"> Sur–Lie</t>
  </si>
  <si>
    <t>0.30—0.70 g/L</t>
  </si>
  <si>
    <t>T306</t>
  </si>
  <si>
    <t xml:space="preserve">  ClarMix</t>
  </si>
  <si>
    <t>0.01—0.20 g/L</t>
  </si>
  <si>
    <t xml:space="preserve"> Leucofood</t>
  </si>
  <si>
    <t>0.04—0.05 g/L</t>
  </si>
  <si>
    <t>VL1</t>
  </si>
  <si>
    <t xml:space="preserve">  ClarPure</t>
  </si>
  <si>
    <t>0.01—0.40 g/L</t>
  </si>
  <si>
    <t xml:space="preserve"> AR2000</t>
  </si>
  <si>
    <t xml:space="preserve">       0.02—0.05 g/L</t>
  </si>
  <si>
    <t xml:space="preserve">  ClarNOF</t>
  </si>
  <si>
    <t>0.01—0.50 g/L</t>
  </si>
  <si>
    <t xml:space="preserve"> Yeast Hulls</t>
  </si>
  <si>
    <t>0.13–0.24 g/L</t>
  </si>
  <si>
    <t>VL3</t>
  </si>
  <si>
    <t>DATE</t>
  </si>
  <si>
    <t>TIME</t>
  </si>
  <si>
    <t>BRIX</t>
  </si>
  <si>
    <t>TEMP</t>
  </si>
  <si>
    <t>NOTES</t>
  </si>
  <si>
    <t>Vin13</t>
  </si>
  <si>
    <t>VRB</t>
  </si>
  <si>
    <t>W15</t>
  </si>
  <si>
    <t>ADT–36</t>
  </si>
  <si>
    <t>Low-mod</t>
  </si>
  <si>
    <t>Renaissance Yeast</t>
  </si>
  <si>
    <t>AL–48</t>
  </si>
  <si>
    <t>Mod</t>
  </si>
  <si>
    <t>BEL–93</t>
  </si>
  <si>
    <t>BRO–58</t>
  </si>
  <si>
    <t>BV–33</t>
  </si>
  <si>
    <t>MTS–29</t>
  </si>
  <si>
    <t>TR–313</t>
  </si>
  <si>
    <t>VIC–23</t>
  </si>
  <si>
    <t>Grape_Yield</t>
  </si>
  <si>
    <t>Bordeaux Grapes</t>
  </si>
  <si>
    <t>Mediterranean Grapes</t>
  </si>
  <si>
    <t>White Grapes</t>
  </si>
  <si>
    <t>Cab Franc</t>
  </si>
  <si>
    <t>Cab Sauvignon</t>
  </si>
  <si>
    <t>Chardonnay</t>
  </si>
  <si>
    <t>Gewürztraminer</t>
  </si>
  <si>
    <t>Grenache</t>
  </si>
  <si>
    <t>Merlot</t>
  </si>
  <si>
    <t>Petit Syrah</t>
  </si>
  <si>
    <t>Pinot Gris</t>
  </si>
  <si>
    <t>Pinot Noir</t>
  </si>
  <si>
    <t>Riesling</t>
  </si>
  <si>
    <t>Sauv Blanc</t>
  </si>
  <si>
    <t>Viognier</t>
  </si>
  <si>
    <t>Zinfandel</t>
  </si>
  <si>
    <t xml:space="preserve">   Nutrient and yeast data was obtained from "2021 Scott Laboratories Handbook".  Scott Labs issues a new handbook in PDF format each year. More information can be found at Scott Laboratories website:– www.scottlaboratories.com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</si>
</sst>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164" formatCode="[$-1009]d\-mmm\-yy;@"/>
    <numFmt numFmtId="165" formatCode="&quot;$&quot;#,##0.00"/>
    <numFmt numFmtId="166" formatCode="0.0"/>
    <numFmt numFmtId="167" formatCode="0.000"/>
    <numFmt numFmtId="168" formatCode="0.0000"/>
    <numFmt numFmtId="169" formatCode=";;;"/>
    <numFmt numFmtId="170" formatCode="hh:mm:ss;@"/>
    <numFmt numFmtId="171" formatCode="0.0%"/>
    <numFmt numFmtId="172" formatCode="_(* #,##0.00_);_(* \(#,##0.00\);_(* &quot;-&quot;??_);_(@_)"/>
  </numFmts>
  <fonts count="65" x14ac:knownFonts="1">
    <font>
      <sz val="10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Arial Narrow"/>
      <family val="2"/>
    </font>
    <font>
      <b/>
      <sz val="12"/>
      <color indexed="12"/>
      <name val="Arial"/>
      <family val="2"/>
    </font>
    <font>
      <b/>
      <sz val="12"/>
      <color rgb="FF008A00"/>
      <name val="Arial"/>
      <family val="2"/>
    </font>
    <font>
      <b/>
      <sz val="10"/>
      <name val="Arial"/>
      <family val="2"/>
    </font>
    <font>
      <b/>
      <sz val="10"/>
      <color rgb="FF060CFA"/>
      <name val="Arial"/>
      <family val="2"/>
    </font>
    <font>
      <b/>
      <sz val="11"/>
      <name val="Arial"/>
      <family val="2"/>
    </font>
    <font>
      <b/>
      <sz val="12"/>
      <color rgb="FF060CFA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1"/>
      <name val="Arial"/>
      <family val="2"/>
    </font>
    <font>
      <b/>
      <sz val="11"/>
      <color rgb="FF060CFA"/>
      <name val="Arial"/>
      <family val="2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Arial"/>
      <family val="2"/>
    </font>
    <font>
      <b/>
      <sz val="12"/>
      <color rgb="FFC00000"/>
      <name val="Arial"/>
      <family val="2"/>
    </font>
    <font>
      <b/>
      <sz val="12"/>
      <color theme="3" tint="0.39994506668294322"/>
      <name val="Arial"/>
      <family val="2"/>
    </font>
    <font>
      <b/>
      <sz val="11"/>
      <color indexed="12"/>
      <name val="Arial"/>
      <family val="2"/>
    </font>
    <font>
      <sz val="10"/>
      <color rgb="FF060CFA"/>
      <name val="Arial"/>
      <family val="2"/>
    </font>
    <font>
      <b/>
      <sz val="18"/>
      <color rgb="FF060CFA"/>
      <name val="Arial"/>
      <family val="2"/>
    </font>
    <font>
      <b/>
      <sz val="10"/>
      <color indexed="12"/>
      <name val="Arial"/>
      <family val="2"/>
    </font>
    <font>
      <sz val="10"/>
      <color theme="3"/>
      <name val="Arial"/>
      <family val="2"/>
    </font>
    <font>
      <sz val="10"/>
      <color rgb="FF002060"/>
      <name val="Arial"/>
      <family val="2"/>
    </font>
    <font>
      <b/>
      <sz val="12"/>
      <color rgb="FF009900"/>
      <name val="Arial"/>
      <family val="2"/>
    </font>
    <font>
      <b/>
      <sz val="10"/>
      <color theme="6" tint="-0.24994659260841701"/>
      <name val="Arial"/>
      <family val="2"/>
    </font>
    <font>
      <b/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2"/>
      <name val="Arial"/>
      <family val="2"/>
    </font>
    <font>
      <sz val="10"/>
      <name val="Tahoma"/>
      <family val="2"/>
    </font>
    <font>
      <b/>
      <sz val="12"/>
      <color rgb="FF0000FF"/>
      <name val="Verdana"/>
      <family val="2"/>
    </font>
    <font>
      <b/>
      <vertAlign val="subscript"/>
      <sz val="12"/>
      <name val="Arial"/>
      <family val="2"/>
    </font>
    <font>
      <sz val="10"/>
      <color rgb="FF060CFA"/>
      <name val="Tahoma"/>
      <family val="2"/>
    </font>
    <font>
      <b/>
      <sz val="14"/>
      <color rgb="FF0000FF"/>
      <name val="Arial"/>
      <family val="2"/>
    </font>
    <font>
      <b/>
      <vertAlign val="subscript"/>
      <sz val="12"/>
      <color rgb="FF002570"/>
      <name val="Arial"/>
      <family val="2"/>
    </font>
    <font>
      <b/>
      <sz val="12"/>
      <color rgb="FF002570"/>
      <name val="Arial"/>
      <family val="2"/>
    </font>
    <font>
      <b/>
      <vertAlign val="subscript"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 Narrow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8"/>
      <name val="Arial"/>
      <family val="2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color rgb="FF0000FF"/>
      <name val="Verdan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vertAlign val="subscript"/>
      <sz val="12"/>
      <color indexed="81"/>
      <name val="Tahoma"/>
      <family val="2"/>
    </font>
    <font>
      <sz val="14"/>
      <color indexed="81"/>
      <name val="Arial"/>
      <family val="2"/>
    </font>
    <font>
      <sz val="9"/>
      <color indexed="81"/>
      <name val="Tahoma"/>
      <family val="2"/>
    </font>
    <font>
      <b/>
      <sz val="12"/>
      <color indexed="81"/>
      <name val="Arial"/>
      <family val="2"/>
    </font>
    <font>
      <b/>
      <sz val="11"/>
      <color indexed="81"/>
      <name val="Tahoma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FF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1FDE7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9900"/>
      </left>
      <right style="thick">
        <color rgb="FF009900"/>
      </right>
      <top style="thick">
        <color rgb="FF009900"/>
      </top>
      <bottom style="thick">
        <color rgb="FF009900"/>
      </bottom>
      <diagonal/>
    </border>
    <border>
      <left/>
      <right style="thin">
        <color rgb="FF002060"/>
      </right>
      <top style="thin">
        <color indexed="64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/>
      <top style="thin">
        <color auto="1"/>
      </top>
      <bottom style="thin">
        <color rgb="FF002060"/>
      </bottom>
      <diagonal/>
    </border>
    <border>
      <left/>
      <right style="hair">
        <color rgb="FF002060"/>
      </right>
      <top/>
      <bottom/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rgb="FFC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rgb="FFC00000"/>
      </right>
      <top/>
      <bottom style="thin">
        <color auto="1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rgb="FFC00000"/>
      </left>
      <right/>
      <top style="thin">
        <color auto="1"/>
      </top>
      <bottom style="thin">
        <color auto="1"/>
      </bottom>
      <diagonal/>
    </border>
    <border>
      <left/>
      <right style="thick">
        <color rgb="FFC00000"/>
      </right>
      <top/>
      <bottom style="double">
        <color auto="1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C00000"/>
      </right>
      <top style="double">
        <color auto="1"/>
      </top>
      <bottom style="thick">
        <color rgb="FFC00000"/>
      </bottom>
      <diagonal/>
    </border>
    <border>
      <left style="thick">
        <color rgb="FF009900"/>
      </left>
      <right/>
      <top style="thick">
        <color rgb="FF009900"/>
      </top>
      <bottom style="thin">
        <color indexed="64"/>
      </bottom>
      <diagonal/>
    </border>
    <border>
      <left/>
      <right/>
      <top style="thick">
        <color rgb="FF009900"/>
      </top>
      <bottom style="thin">
        <color indexed="64"/>
      </bottom>
      <diagonal/>
    </border>
    <border>
      <left/>
      <right style="thick">
        <color rgb="FF009900"/>
      </right>
      <top style="thick">
        <color rgb="FF009900"/>
      </top>
      <bottom style="thin">
        <color indexed="64"/>
      </bottom>
      <diagonal/>
    </border>
    <border>
      <left style="thick">
        <color rgb="FF009900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9900"/>
      </right>
      <top style="thin">
        <color indexed="64"/>
      </top>
      <bottom style="thin">
        <color indexed="64"/>
      </bottom>
      <diagonal/>
    </border>
    <border>
      <left style="thick">
        <color rgb="FF009900"/>
      </left>
      <right/>
      <top style="thin">
        <color indexed="64"/>
      </top>
      <bottom style="thick">
        <color rgb="FF002060"/>
      </bottom>
      <diagonal/>
    </border>
    <border>
      <left/>
      <right/>
      <top style="thin">
        <color indexed="64"/>
      </top>
      <bottom style="thick">
        <color rgb="FF002060"/>
      </bottom>
      <diagonal/>
    </border>
    <border>
      <left/>
      <right style="thick">
        <color rgb="FF00990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0000FF"/>
      </left>
      <right/>
      <top style="thin">
        <color auto="1"/>
      </top>
      <bottom style="thin">
        <color auto="1"/>
      </bottom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rgb="FF002060"/>
      </left>
      <right/>
      <top style="thin">
        <color auto="1"/>
      </top>
      <bottom style="thick">
        <color rgb="FFC00000"/>
      </bottom>
      <diagonal/>
    </border>
    <border>
      <left/>
      <right/>
      <top style="thin">
        <color auto="1"/>
      </top>
      <bottom style="thick">
        <color rgb="FFC00000"/>
      </bottom>
      <diagonal/>
    </border>
    <border>
      <left/>
      <right style="thick">
        <color rgb="FF0000FF"/>
      </right>
      <top style="thin">
        <color auto="1"/>
      </top>
      <bottom/>
      <diagonal/>
    </border>
    <border>
      <left style="thick">
        <color rgb="FFC00000"/>
      </left>
      <right/>
      <top style="thick">
        <color rgb="FFC00000"/>
      </top>
      <bottom style="thin">
        <color auto="1"/>
      </bottom>
      <diagonal/>
    </border>
    <border>
      <left/>
      <right style="hair">
        <color auto="1"/>
      </right>
      <top style="thick">
        <color rgb="FFC00000"/>
      </top>
      <bottom style="thin">
        <color auto="1"/>
      </bottom>
      <diagonal/>
    </border>
    <border>
      <left/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C00000"/>
      </right>
      <top style="thin">
        <color indexed="64"/>
      </top>
      <bottom/>
      <diagonal/>
    </border>
    <border>
      <left style="thick">
        <color rgb="FFC00000"/>
      </left>
      <right/>
      <top style="thin">
        <color auto="1"/>
      </top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 style="medium">
        <color auto="1"/>
      </bottom>
      <diagonal/>
    </border>
    <border>
      <left style="thin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2060"/>
      </top>
      <bottom/>
      <diagonal/>
    </border>
    <border>
      <left/>
      <right style="thin">
        <color auto="1"/>
      </right>
      <top style="thin">
        <color auto="1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7">
    <xf numFmtId="0" fontId="0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172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64" fillId="0" borderId="0" applyNumberFormat="0" applyFill="0" applyBorder="0" applyProtection="0"/>
    <xf numFmtId="0" fontId="1" fillId="0" borderId="0"/>
  </cellStyleXfs>
  <cellXfs count="54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5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6" fillId="0" borderId="0" xfId="0" applyFont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/>
    </xf>
    <xf numFmtId="164" fontId="6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Protection="1"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right" vertical="top"/>
    </xf>
    <xf numFmtId="49" fontId="6" fillId="0" borderId="0" xfId="0" applyNumberFormat="1" applyFont="1" applyAlignment="1" applyProtection="1">
      <alignment horizontal="left" vertical="top"/>
      <protection locked="0"/>
    </xf>
    <xf numFmtId="165" fontId="6" fillId="0" borderId="0" xfId="0" applyNumberFormat="1" applyFont="1" applyBorder="1" applyAlignment="1" applyProtection="1">
      <alignment horizontal="left" vertical="top"/>
      <protection locked="0"/>
    </xf>
    <xf numFmtId="49" fontId="0" fillId="0" borderId="0" xfId="0" applyNumberFormat="1" applyProtection="1">
      <protection locked="0"/>
    </xf>
    <xf numFmtId="49" fontId="3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3" fillId="0" borderId="5" xfId="0" applyNumberFormat="1" applyFont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3" fillId="0" borderId="6" xfId="0" applyNumberFormat="1" applyFont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right" vertical="center"/>
    </xf>
    <xf numFmtId="166" fontId="13" fillId="0" borderId="8" xfId="0" applyNumberFormat="1" applyFont="1" applyBorder="1" applyAlignment="1" applyProtection="1">
      <alignment horizontal="center" vertical="center"/>
    </xf>
    <xf numFmtId="0" fontId="13" fillId="0" borderId="9" xfId="0" applyFont="1" applyBorder="1" applyAlignment="1">
      <alignment horizontal="right" vertical="center"/>
    </xf>
    <xf numFmtId="166" fontId="13" fillId="0" borderId="10" xfId="0" applyNumberFormat="1" applyFont="1" applyBorder="1" applyAlignment="1" applyProtection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15" fillId="0" borderId="0" xfId="1" applyFont="1" applyBorder="1" applyAlignment="1">
      <alignment vertical="center"/>
    </xf>
    <xf numFmtId="0" fontId="5" fillId="0" borderId="1" xfId="0" applyFont="1" applyBorder="1" applyAlignment="1" applyProtection="1">
      <alignment horizontal="center" wrapText="1"/>
    </xf>
    <xf numFmtId="0" fontId="0" fillId="0" borderId="0" xfId="0" applyBorder="1"/>
    <xf numFmtId="0" fontId="16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49" fontId="0" fillId="0" borderId="0" xfId="0" applyNumberFormat="1"/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166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167" fontId="0" fillId="0" borderId="13" xfId="0" applyNumberFormat="1" applyBorder="1"/>
    <xf numFmtId="0" fontId="10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/>
    <xf numFmtId="167" fontId="0" fillId="0" borderId="15" xfId="0" applyNumberFormat="1" applyBorder="1"/>
    <xf numFmtId="0" fontId="18" fillId="0" borderId="17" xfId="0" applyFont="1" applyFill="1" applyBorder="1" applyAlignment="1" applyProtection="1">
      <alignment horizontal="right"/>
      <protection locked="0"/>
    </xf>
    <xf numFmtId="1" fontId="19" fillId="2" borderId="18" xfId="0" applyNumberFormat="1" applyFont="1" applyFill="1" applyBorder="1" applyAlignment="1" applyProtection="1">
      <alignment horizontal="center" vertical="center"/>
      <protection locked="0"/>
    </xf>
    <xf numFmtId="166" fontId="13" fillId="0" borderId="19" xfId="0" applyNumberFormat="1" applyFont="1" applyBorder="1" applyAlignment="1" applyProtection="1">
      <alignment horizontal="center" vertical="center"/>
    </xf>
    <xf numFmtId="166" fontId="4" fillId="2" borderId="5" xfId="0" applyNumberFormat="1" applyFont="1" applyFill="1" applyBorder="1" applyAlignment="1" applyProtection="1">
      <alignment horizontal="center" vertical="center"/>
      <protection locked="0"/>
    </xf>
    <xf numFmtId="166" fontId="13" fillId="0" borderId="20" xfId="0" applyNumberFormat="1" applyFont="1" applyBorder="1" applyAlignment="1" applyProtection="1">
      <alignment horizontal="center" vertical="center"/>
    </xf>
    <xf numFmtId="1" fontId="13" fillId="0" borderId="5" xfId="0" applyNumberFormat="1" applyFont="1" applyBorder="1" applyAlignment="1" applyProtection="1">
      <alignment horizontal="center" vertical="center"/>
    </xf>
    <xf numFmtId="166" fontId="13" fillId="0" borderId="21" xfId="0" applyNumberFormat="1" applyFont="1" applyBorder="1" applyAlignment="1" applyProtection="1">
      <alignment horizontal="left" vertical="center"/>
    </xf>
    <xf numFmtId="166" fontId="13" fillId="0" borderId="22" xfId="0" applyNumberFormat="1" applyFont="1" applyBorder="1" applyAlignment="1" applyProtection="1">
      <alignment horizontal="center" vertical="center"/>
    </xf>
    <xf numFmtId="0" fontId="2" fillId="0" borderId="15" xfId="0" applyFont="1" applyBorder="1"/>
    <xf numFmtId="167" fontId="2" fillId="0" borderId="15" xfId="0" applyNumberFormat="1" applyFont="1" applyFill="1" applyBorder="1"/>
    <xf numFmtId="0" fontId="4" fillId="0" borderId="0" xfId="0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16" xfId="0" applyBorder="1"/>
    <xf numFmtId="167" fontId="2" fillId="0" borderId="16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20" fillId="0" borderId="0" xfId="0" applyFont="1" applyFill="1"/>
    <xf numFmtId="0" fontId="2" fillId="0" borderId="0" xfId="0" applyFont="1" applyFill="1" applyBorder="1"/>
    <xf numFmtId="0" fontId="10" fillId="0" borderId="2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166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67" fontId="22" fillId="0" borderId="2" xfId="0" applyNumberFormat="1" applyFont="1" applyBorder="1" applyAlignment="1" applyProtection="1">
      <alignment horizontal="center" vertical="center"/>
    </xf>
    <xf numFmtId="2" fontId="22" fillId="0" borderId="2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right" vertical="center"/>
    </xf>
    <xf numFmtId="166" fontId="4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166" fontId="4" fillId="2" borderId="23" xfId="0" applyNumberFormat="1" applyFont="1" applyFill="1" applyBorder="1" applyAlignment="1" applyProtection="1">
      <alignment horizontal="center" vertical="center"/>
      <protection locked="0"/>
    </xf>
    <xf numFmtId="166" fontId="23" fillId="0" borderId="0" xfId="0" applyNumberFormat="1" applyFont="1" applyBorder="1" applyAlignment="1" applyProtection="1">
      <alignment horizontal="center" vertical="center"/>
    </xf>
    <xf numFmtId="166" fontId="4" fillId="2" borderId="25" xfId="0" applyNumberFormat="1" applyFont="1" applyFill="1" applyBorder="1" applyAlignment="1" applyProtection="1">
      <alignment horizontal="center" vertical="center"/>
      <protection locked="0"/>
    </xf>
    <xf numFmtId="2" fontId="4" fillId="2" borderId="25" xfId="2" applyNumberFormat="1" applyFont="1" applyFill="1" applyBorder="1" applyAlignment="1" applyProtection="1">
      <alignment horizontal="center" vertical="center"/>
      <protection locked="0"/>
    </xf>
    <xf numFmtId="2" fontId="4" fillId="2" borderId="25" xfId="0" applyNumberFormat="1" applyFont="1" applyFill="1" applyBorder="1" applyAlignment="1" applyProtection="1">
      <alignment horizontal="center" vertical="center"/>
      <protection locked="0"/>
    </xf>
    <xf numFmtId="1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24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right" vertical="center"/>
    </xf>
    <xf numFmtId="166" fontId="22" fillId="0" borderId="10" xfId="0" applyNumberFormat="1" applyFont="1" applyBorder="1" applyAlignment="1" applyProtection="1">
      <alignment horizontal="center" vertical="center"/>
    </xf>
    <xf numFmtId="2" fontId="22" fillId="0" borderId="10" xfId="0" applyNumberFormat="1" applyFont="1" applyBorder="1" applyAlignment="1" applyProtection="1">
      <alignment horizontal="center" vertical="center"/>
    </xf>
    <xf numFmtId="1" fontId="22" fillId="0" borderId="10" xfId="0" applyNumberFormat="1" applyFont="1" applyBorder="1" applyAlignment="1" applyProtection="1">
      <alignment horizontal="center" vertical="center"/>
    </xf>
    <xf numFmtId="1" fontId="25" fillId="0" borderId="0" xfId="0" applyNumberFormat="1" applyFont="1" applyBorder="1" applyAlignment="1" applyProtection="1">
      <alignment horizontal="center" vertical="center"/>
    </xf>
    <xf numFmtId="0" fontId="5" fillId="0" borderId="26" xfId="0" applyFont="1" applyFill="1" applyBorder="1" applyAlignment="1">
      <alignment horizontal="center" wrapText="1"/>
    </xf>
    <xf numFmtId="0" fontId="4" fillId="0" borderId="3" xfId="0" applyFont="1" applyFill="1" applyBorder="1" applyAlignment="1" applyProtection="1">
      <alignment horizontal="right" vertical="center"/>
    </xf>
    <xf numFmtId="166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166" fontId="10" fillId="0" borderId="13" xfId="0" applyNumberFormat="1" applyFont="1" applyBorder="1" applyAlignment="1" applyProtection="1">
      <alignment horizontal="center" vertical="center" wrapText="1"/>
    </xf>
    <xf numFmtId="166" fontId="10" fillId="0" borderId="24" xfId="0" applyNumberFormat="1" applyFont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166" fontId="10" fillId="0" borderId="15" xfId="0" applyNumberFormat="1" applyFont="1" applyBorder="1" applyAlignment="1" applyProtection="1">
      <alignment horizontal="center" vertical="center"/>
    </xf>
    <xf numFmtId="166" fontId="10" fillId="0" borderId="30" xfId="0" applyNumberFormat="1" applyFont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" fontId="13" fillId="0" borderId="4" xfId="0" applyNumberFormat="1" applyFont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1" fontId="13" fillId="0" borderId="32" xfId="0" applyNumberFormat="1" applyFont="1" applyBorder="1" applyAlignment="1" applyProtection="1">
      <alignment horizontal="center" vertical="center"/>
    </xf>
    <xf numFmtId="1" fontId="13" fillId="0" borderId="33" xfId="0" applyNumberFormat="1" applyFont="1" applyBorder="1" applyAlignment="1" applyProtection="1">
      <alignment horizontal="center" vertical="center"/>
    </xf>
    <xf numFmtId="0" fontId="28" fillId="0" borderId="0" xfId="0" applyFont="1"/>
    <xf numFmtId="0" fontId="11" fillId="0" borderId="0" xfId="0" applyFont="1" applyBorder="1" applyAlignment="1">
      <alignment horizontal="left" vertical="center"/>
    </xf>
    <xf numFmtId="166" fontId="13" fillId="0" borderId="16" xfId="0" applyNumberFormat="1" applyFont="1" applyFill="1" applyBorder="1" applyAlignment="1" applyProtection="1">
      <alignment horizontal="center" vertical="center"/>
    </xf>
    <xf numFmtId="1" fontId="13" fillId="0" borderId="29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166" fontId="13" fillId="0" borderId="2" xfId="0" applyNumberFormat="1" applyFont="1" applyFill="1" applyBorder="1" applyAlignment="1" applyProtection="1">
      <alignment horizontal="center" vertical="center"/>
    </xf>
    <xf numFmtId="166" fontId="13" fillId="0" borderId="2" xfId="0" applyNumberFormat="1" applyFont="1" applyBorder="1" applyAlignment="1" applyProtection="1">
      <alignment horizontal="center" vertical="center"/>
    </xf>
    <xf numFmtId="1" fontId="13" fillId="0" borderId="37" xfId="0" applyNumberFormat="1" applyFont="1" applyBorder="1" applyAlignment="1" applyProtection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6" fontId="13" fillId="0" borderId="25" xfId="0" applyNumberFormat="1" applyFont="1" applyFill="1" applyBorder="1" applyAlignment="1" applyProtection="1">
      <alignment horizontal="center" vertical="center"/>
    </xf>
    <xf numFmtId="1" fontId="13" fillId="0" borderId="40" xfId="0" applyNumberFormat="1" applyFont="1" applyBorder="1" applyAlignment="1" applyProtection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2" fontId="13" fillId="0" borderId="4" xfId="0" applyNumberFormat="1" applyFont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horizontal="center" vertical="center" wrapText="1"/>
    </xf>
    <xf numFmtId="2" fontId="13" fillId="0" borderId="4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1" fontId="13" fillId="0" borderId="42" xfId="0" applyNumberFormat="1" applyFont="1" applyFill="1" applyBorder="1" applyAlignment="1" applyProtection="1">
      <alignment horizontal="center" vertical="center"/>
    </xf>
    <xf numFmtId="1" fontId="22" fillId="0" borderId="8" xfId="0" applyNumberFormat="1" applyFont="1" applyBorder="1" applyAlignment="1" applyProtection="1">
      <alignment horizontal="center" vertical="center"/>
    </xf>
    <xf numFmtId="0" fontId="11" fillId="0" borderId="2" xfId="0" applyFont="1" applyBorder="1" applyAlignment="1">
      <alignment vertical="center"/>
    </xf>
    <xf numFmtId="1" fontId="13" fillId="0" borderId="41" xfId="0" applyNumberFormat="1" applyFont="1" applyBorder="1" applyAlignment="1" applyProtection="1">
      <alignment horizontal="center" vertical="center"/>
    </xf>
    <xf numFmtId="0" fontId="30" fillId="0" borderId="0" xfId="0" applyFont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2" fillId="0" borderId="14" xfId="0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horizontal="left" vertical="center"/>
    </xf>
    <xf numFmtId="1" fontId="13" fillId="0" borderId="25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1" fontId="22" fillId="0" borderId="42" xfId="0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vertical="center"/>
    </xf>
    <xf numFmtId="2" fontId="10" fillId="0" borderId="28" xfId="0" applyNumberFormat="1" applyFont="1" applyBorder="1" applyAlignment="1">
      <alignment horizontal="center" vertical="center"/>
    </xf>
    <xf numFmtId="1" fontId="30" fillId="0" borderId="41" xfId="0" applyNumberFormat="1" applyFont="1" applyBorder="1" applyAlignment="1">
      <alignment horizontal="center" vertical="center"/>
    </xf>
    <xf numFmtId="1" fontId="30" fillId="0" borderId="45" xfId="0" applyNumberFormat="1" applyFont="1" applyBorder="1" applyAlignment="1" applyProtection="1">
      <alignment horizontal="center" vertical="center"/>
    </xf>
    <xf numFmtId="166" fontId="11" fillId="0" borderId="0" xfId="0" applyNumberFormat="1" applyFont="1" applyFill="1" applyBorder="1" applyAlignment="1">
      <alignment horizontal="left" vertical="center"/>
    </xf>
    <xf numFmtId="166" fontId="11" fillId="0" borderId="44" xfId="0" applyNumberFormat="1" applyFont="1" applyFill="1" applyBorder="1" applyAlignment="1">
      <alignment horizontal="left" vertical="center"/>
    </xf>
    <xf numFmtId="1" fontId="22" fillId="0" borderId="42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1" fontId="13" fillId="0" borderId="46" xfId="0" applyNumberFormat="1" applyFont="1" applyBorder="1" applyAlignment="1" applyProtection="1">
      <alignment horizontal="center" vertical="center"/>
    </xf>
    <xf numFmtId="1" fontId="13" fillId="0" borderId="47" xfId="0" applyNumberFormat="1" applyFont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" fontId="13" fillId="0" borderId="48" xfId="0" applyNumberFormat="1" applyFont="1" applyBorder="1" applyAlignment="1" applyProtection="1">
      <alignment horizontal="center" vertical="center"/>
    </xf>
    <xf numFmtId="168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2" fillId="0" borderId="0" xfId="0" applyFont="1"/>
    <xf numFmtId="0" fontId="33" fillId="0" borderId="4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2" fontId="17" fillId="3" borderId="54" xfId="3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/>
    <xf numFmtId="0" fontId="0" fillId="0" borderId="0" xfId="0" applyFill="1"/>
    <xf numFmtId="0" fontId="35" fillId="0" borderId="0" xfId="0" applyFont="1" applyFill="1" applyBorder="1" applyAlignment="1">
      <alignment horizontal="right" vertical="center"/>
    </xf>
    <xf numFmtId="166" fontId="17" fillId="3" borderId="54" xfId="3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Border="1" applyAlignment="1">
      <alignment horizontal="center" vertical="center"/>
    </xf>
    <xf numFmtId="0" fontId="37" fillId="0" borderId="0" xfId="1" applyFont="1" applyBorder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center" vertical="center"/>
    </xf>
    <xf numFmtId="166" fontId="4" fillId="3" borderId="54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4" fillId="0" borderId="14" xfId="1" applyFont="1" applyBorder="1" applyAlignment="1">
      <alignment horizontal="left" vertical="center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35" fillId="0" borderId="0" xfId="0" applyFont="1" applyBorder="1" applyAlignment="1">
      <alignment horizontal="center" vertical="center" wrapText="1"/>
    </xf>
    <xf numFmtId="0" fontId="10" fillId="0" borderId="0" xfId="0" applyFont="1"/>
    <xf numFmtId="166" fontId="4" fillId="4" borderId="2" xfId="1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horizontal="center"/>
    </xf>
    <xf numFmtId="167" fontId="13" fillId="0" borderId="55" xfId="1" applyNumberFormat="1" applyFont="1" applyBorder="1" applyAlignment="1" applyProtection="1">
      <alignment horizontal="left" vertical="center"/>
    </xf>
    <xf numFmtId="167" fontId="13" fillId="0" borderId="56" xfId="1" applyNumberFormat="1" applyFont="1" applyBorder="1" applyAlignment="1" applyProtection="1">
      <alignment horizontal="left" vertical="center"/>
    </xf>
    <xf numFmtId="2" fontId="40" fillId="0" borderId="57" xfId="0" applyNumberFormat="1" applyFont="1" applyBorder="1" applyAlignment="1">
      <alignment horizontal="center" vertical="center"/>
    </xf>
    <xf numFmtId="0" fontId="38" fillId="0" borderId="0" xfId="0" applyFont="1" applyAlignment="1">
      <alignment horizontal="left" vertical="center" readingOrder="1"/>
    </xf>
    <xf numFmtId="0" fontId="38" fillId="0" borderId="0" xfId="0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horizontal="center" vertical="center"/>
    </xf>
    <xf numFmtId="167" fontId="13" fillId="0" borderId="58" xfId="1" applyNumberFormat="1" applyFont="1" applyBorder="1" applyAlignment="1" applyProtection="1">
      <alignment horizontal="center" vertical="center"/>
    </xf>
    <xf numFmtId="167" fontId="13" fillId="0" borderId="59" xfId="1" applyNumberFormat="1" applyFont="1" applyBorder="1" applyAlignment="1" applyProtection="1">
      <alignment horizontal="center" vertical="center"/>
    </xf>
    <xf numFmtId="167" fontId="13" fillId="0" borderId="60" xfId="1" applyNumberFormat="1" applyFont="1" applyBorder="1" applyAlignment="1" applyProtection="1">
      <alignment horizontal="center" vertical="center"/>
    </xf>
    <xf numFmtId="0" fontId="38" fillId="0" borderId="0" xfId="0" applyFont="1"/>
    <xf numFmtId="167" fontId="13" fillId="0" borderId="0" xfId="1" applyNumberFormat="1" applyFont="1" applyBorder="1" applyAlignment="1">
      <alignment horizontal="right" vertical="center"/>
    </xf>
    <xf numFmtId="166" fontId="22" fillId="0" borderId="61" xfId="1" applyNumberFormat="1" applyFont="1" applyBorder="1" applyAlignment="1">
      <alignment horizontal="center" vertical="center"/>
    </xf>
    <xf numFmtId="0" fontId="17" fillId="0" borderId="6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166" fontId="17" fillId="3" borderId="63" xfId="3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Border="1" applyAlignment="1">
      <alignment horizontal="center"/>
    </xf>
    <xf numFmtId="167" fontId="22" fillId="0" borderId="64" xfId="1" applyNumberFormat="1" applyFont="1" applyBorder="1" applyAlignment="1">
      <alignment horizontal="center" vertical="center"/>
    </xf>
    <xf numFmtId="167" fontId="13" fillId="0" borderId="65" xfId="1" applyNumberFormat="1" applyFont="1" applyBorder="1" applyAlignment="1" applyProtection="1">
      <alignment horizontal="left" vertical="center"/>
    </xf>
    <xf numFmtId="167" fontId="13" fillId="0" borderId="66" xfId="1" applyNumberFormat="1" applyFont="1" applyBorder="1" applyAlignment="1" applyProtection="1">
      <alignment horizontal="left" vertical="center"/>
    </xf>
    <xf numFmtId="2" fontId="43" fillId="0" borderId="67" xfId="0" applyNumberFormat="1" applyFont="1" applyBorder="1" applyAlignment="1">
      <alignment horizontal="center" vertical="center"/>
    </xf>
    <xf numFmtId="166" fontId="4" fillId="0" borderId="0" xfId="1" applyNumberFormat="1" applyFont="1" applyBorder="1" applyAlignment="1">
      <alignment vertical="center"/>
    </xf>
    <xf numFmtId="166" fontId="4" fillId="0" borderId="14" xfId="1" applyNumberFormat="1" applyFont="1" applyBorder="1" applyAlignment="1">
      <alignment vertical="center"/>
    </xf>
    <xf numFmtId="166" fontId="22" fillId="0" borderId="64" xfId="1" applyNumberFormat="1" applyFont="1" applyBorder="1" applyAlignment="1">
      <alignment horizontal="center" vertical="center"/>
    </xf>
    <xf numFmtId="0" fontId="25" fillId="0" borderId="68" xfId="0" applyFont="1" applyBorder="1" applyAlignment="1">
      <alignment horizontal="left" vertical="center"/>
    </xf>
    <xf numFmtId="0" fontId="25" fillId="0" borderId="69" xfId="0" applyFont="1" applyBorder="1" applyAlignment="1">
      <alignment horizontal="left" vertical="center"/>
    </xf>
    <xf numFmtId="166" fontId="17" fillId="3" borderId="70" xfId="3" applyNumberFormat="1" applyFont="1" applyFill="1" applyBorder="1" applyAlignment="1" applyProtection="1">
      <alignment horizontal="center" vertical="center"/>
      <protection locked="0"/>
    </xf>
    <xf numFmtId="166" fontId="22" fillId="0" borderId="71" xfId="1" applyNumberFormat="1" applyFont="1" applyBorder="1" applyAlignment="1">
      <alignment vertical="center"/>
    </xf>
    <xf numFmtId="166" fontId="22" fillId="0" borderId="0" xfId="1" applyNumberFormat="1" applyFont="1" applyBorder="1" applyAlignment="1">
      <alignment vertical="center"/>
    </xf>
    <xf numFmtId="0" fontId="37" fillId="0" borderId="0" xfId="1" applyFont="1" applyBorder="1" applyAlignment="1">
      <alignment horizontal="right" vertical="center"/>
    </xf>
    <xf numFmtId="167" fontId="12" fillId="0" borderId="0" xfId="0" applyNumberFormat="1" applyFont="1" applyFill="1" applyBorder="1" applyAlignment="1" applyProtection="1">
      <alignment horizontal="center" vertical="top"/>
    </xf>
    <xf numFmtId="0" fontId="4" fillId="0" borderId="45" xfId="0" applyFont="1" applyBorder="1" applyAlignment="1">
      <alignment horizontal="left" vertical="center"/>
    </xf>
    <xf numFmtId="166" fontId="17" fillId="3" borderId="72" xfId="3" applyNumberFormat="1" applyFont="1" applyFill="1" applyBorder="1" applyAlignment="1" applyProtection="1">
      <alignment horizontal="center" vertical="center"/>
      <protection locked="0"/>
    </xf>
    <xf numFmtId="166" fontId="22" fillId="0" borderId="0" xfId="1" applyNumberFormat="1" applyFont="1" applyBorder="1" applyAlignment="1">
      <alignment vertical="center"/>
    </xf>
    <xf numFmtId="166" fontId="22" fillId="0" borderId="44" xfId="1" applyNumberFormat="1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</xf>
    <xf numFmtId="167" fontId="13" fillId="0" borderId="45" xfId="1" applyNumberFormat="1" applyFont="1" applyBorder="1" applyAlignment="1" applyProtection="1">
      <alignment horizontal="left" vertical="center"/>
    </xf>
    <xf numFmtId="167" fontId="13" fillId="0" borderId="28" xfId="1" applyNumberFormat="1" applyFont="1" applyBorder="1" applyAlignment="1" applyProtection="1">
      <alignment horizontal="left" vertical="center"/>
    </xf>
    <xf numFmtId="166" fontId="17" fillId="0" borderId="41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2" fontId="22" fillId="0" borderId="64" xfId="1" applyNumberFormat="1" applyFont="1" applyBorder="1" applyAlignment="1">
      <alignment horizontal="center" vertical="center"/>
    </xf>
    <xf numFmtId="167" fontId="13" fillId="0" borderId="73" xfId="1" applyNumberFormat="1" applyFont="1" applyBorder="1" applyAlignment="1" applyProtection="1">
      <alignment horizontal="left" vertical="center"/>
    </xf>
    <xf numFmtId="167" fontId="13" fillId="0" borderId="66" xfId="1" applyNumberFormat="1" applyFont="1" applyBorder="1" applyAlignment="1" applyProtection="1">
      <alignment horizontal="left" vertical="center"/>
    </xf>
    <xf numFmtId="2" fontId="43" fillId="0" borderId="74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0" fillId="0" borderId="75" xfId="0" applyBorder="1"/>
    <xf numFmtId="0" fontId="12" fillId="0" borderId="76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left" vertical="center" wrapText="1"/>
    </xf>
    <xf numFmtId="0" fontId="17" fillId="0" borderId="0" xfId="1" applyFont="1" applyBorder="1" applyAlignment="1">
      <alignment horizontal="right" vertical="center"/>
    </xf>
    <xf numFmtId="0" fontId="17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2" fontId="13" fillId="0" borderId="77" xfId="0" applyNumberFormat="1" applyFont="1" applyFill="1" applyBorder="1" applyAlignment="1" applyProtection="1">
      <alignment horizontal="center" vertical="center"/>
    </xf>
    <xf numFmtId="1" fontId="10" fillId="0" borderId="78" xfId="0" applyNumberFormat="1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/>
    </xf>
    <xf numFmtId="2" fontId="0" fillId="0" borderId="8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2" fontId="13" fillId="0" borderId="81" xfId="0" applyNumberFormat="1" applyFont="1" applyFill="1" applyBorder="1" applyAlignment="1" applyProtection="1">
      <alignment horizontal="center" vertical="center"/>
    </xf>
    <xf numFmtId="1" fontId="10" fillId="0" borderId="8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0" fillId="0" borderId="83" xfId="0" applyNumberForma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166" fontId="13" fillId="0" borderId="13" xfId="0" applyNumberFormat="1" applyFont="1" applyFill="1" applyBorder="1" applyAlignment="1" applyProtection="1">
      <alignment horizontal="center" vertical="center" wrapText="1"/>
    </xf>
    <xf numFmtId="1" fontId="10" fillId="0" borderId="84" xfId="0" applyNumberFormat="1" applyFont="1" applyBorder="1" applyAlignment="1">
      <alignment horizontal="center" vertical="center" wrapText="1"/>
    </xf>
    <xf numFmtId="2" fontId="0" fillId="0" borderId="83" xfId="0" applyNumberFormat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66" fontId="22" fillId="0" borderId="0" xfId="1" applyNumberFormat="1" applyFont="1" applyBorder="1" applyAlignment="1">
      <alignment horizontal="right" vertical="center"/>
    </xf>
    <xf numFmtId="166" fontId="22" fillId="0" borderId="44" xfId="1" applyNumberFormat="1" applyFont="1" applyBorder="1" applyAlignment="1">
      <alignment horizontal="right" vertical="center"/>
    </xf>
    <xf numFmtId="167" fontId="13" fillId="0" borderId="61" xfId="0" applyNumberFormat="1" applyFont="1" applyFill="1" applyBorder="1" applyAlignment="1" applyProtection="1">
      <alignment horizontal="center" vertical="center"/>
    </xf>
    <xf numFmtId="0" fontId="17" fillId="0" borderId="16" xfId="0" applyFont="1" applyBorder="1" applyAlignment="1">
      <alignment horizontal="center" vertical="center"/>
    </xf>
    <xf numFmtId="166" fontId="13" fillId="0" borderId="16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center"/>
    </xf>
    <xf numFmtId="166" fontId="4" fillId="3" borderId="3" xfId="0" applyNumberFormat="1" applyFont="1" applyFill="1" applyBorder="1" applyAlignment="1" applyProtection="1">
      <alignment horizontal="center" vertical="center"/>
      <protection locked="0"/>
    </xf>
    <xf numFmtId="166" fontId="13" fillId="0" borderId="85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166" fontId="13" fillId="0" borderId="86" xfId="0" applyNumberFormat="1" applyFont="1" applyFill="1" applyBorder="1" applyAlignment="1" applyProtection="1">
      <alignment horizontal="center" vertical="top"/>
    </xf>
    <xf numFmtId="0" fontId="4" fillId="3" borderId="87" xfId="0" applyFont="1" applyFill="1" applyBorder="1" applyAlignment="1" applyProtection="1">
      <alignment horizontal="center" vertical="center"/>
      <protection locked="0"/>
    </xf>
    <xf numFmtId="166" fontId="13" fillId="0" borderId="29" xfId="0" applyNumberFormat="1" applyFont="1" applyFill="1" applyBorder="1" applyAlignment="1" applyProtection="1">
      <alignment horizontal="center" vertical="top"/>
    </xf>
    <xf numFmtId="0" fontId="35" fillId="0" borderId="0" xfId="0" applyFont="1" applyAlignment="1">
      <alignment horizontal="center"/>
    </xf>
    <xf numFmtId="2" fontId="47" fillId="0" borderId="2" xfId="0" applyNumberFormat="1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6" fillId="0" borderId="1" xfId="3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7" fontId="13" fillId="0" borderId="86" xfId="0" applyNumberFormat="1" applyFont="1" applyFill="1" applyBorder="1" applyAlignment="1" applyProtection="1">
      <alignment horizontal="center" vertical="top"/>
    </xf>
    <xf numFmtId="167" fontId="13" fillId="0" borderId="29" xfId="0" applyNumberFormat="1" applyFont="1" applyFill="1" applyBorder="1" applyAlignment="1" applyProtection="1">
      <alignment horizontal="center" vertical="top"/>
    </xf>
    <xf numFmtId="0" fontId="48" fillId="0" borderId="14" xfId="0" applyFont="1" applyBorder="1" applyAlignment="1">
      <alignment vertical="center"/>
    </xf>
    <xf numFmtId="0" fontId="17" fillId="0" borderId="14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2" fontId="22" fillId="0" borderId="2" xfId="3" applyNumberFormat="1" applyFont="1" applyBorder="1" applyAlignment="1">
      <alignment horizontal="center" vertical="center"/>
    </xf>
    <xf numFmtId="167" fontId="17" fillId="3" borderId="12" xfId="1" applyNumberFormat="1" applyFont="1" applyFill="1" applyBorder="1" applyAlignment="1" applyProtection="1">
      <alignment horizontal="center" vertical="center"/>
      <protection locked="0"/>
    </xf>
    <xf numFmtId="0" fontId="17" fillId="0" borderId="14" xfId="3" applyFont="1" applyBorder="1" applyAlignment="1">
      <alignment horizontal="right" vertical="center"/>
    </xf>
    <xf numFmtId="166" fontId="17" fillId="3" borderId="88" xfId="3" applyNumberFormat="1" applyFont="1" applyFill="1" applyBorder="1" applyAlignment="1" applyProtection="1">
      <alignment horizontal="center" vertical="center"/>
      <protection locked="0"/>
    </xf>
    <xf numFmtId="0" fontId="49" fillId="0" borderId="28" xfId="3" applyFont="1" applyBorder="1" applyAlignment="1">
      <alignment horizontal="center" vertical="center"/>
    </xf>
    <xf numFmtId="2" fontId="22" fillId="0" borderId="28" xfId="3" applyNumberFormat="1" applyFont="1" applyBorder="1" applyAlignment="1">
      <alignment horizontal="center" vertical="center"/>
    </xf>
    <xf numFmtId="2" fontId="22" fillId="0" borderId="13" xfId="3" applyNumberFormat="1" applyFont="1" applyBorder="1" applyAlignment="1">
      <alignment horizontal="center" vertical="center"/>
    </xf>
    <xf numFmtId="167" fontId="17" fillId="3" borderId="87" xfId="1" applyNumberFormat="1" applyFont="1" applyFill="1" applyBorder="1" applyAlignment="1" applyProtection="1">
      <alignment horizontal="center" vertical="center"/>
      <protection locked="0"/>
    </xf>
    <xf numFmtId="166" fontId="22" fillId="0" borderId="0" xfId="1" applyNumberFormat="1" applyFont="1" applyBorder="1" applyAlignment="1">
      <alignment horizontal="right" vertical="center"/>
    </xf>
    <xf numFmtId="166" fontId="22" fillId="0" borderId="44" xfId="1" applyNumberFormat="1" applyFont="1" applyBorder="1" applyAlignment="1">
      <alignment horizontal="right" vertical="center"/>
    </xf>
    <xf numFmtId="0" fontId="49" fillId="0" borderId="0" xfId="3" applyFont="1" applyBorder="1" applyAlignment="1">
      <alignment horizontal="center" vertical="center"/>
    </xf>
    <xf numFmtId="166" fontId="17" fillId="3" borderId="2" xfId="3" applyNumberFormat="1" applyFont="1" applyFill="1" applyBorder="1" applyAlignment="1" applyProtection="1">
      <alignment horizontal="center" vertical="center"/>
      <protection locked="0"/>
    </xf>
    <xf numFmtId="0" fontId="49" fillId="0" borderId="2" xfId="3" applyFont="1" applyBorder="1" applyAlignment="1">
      <alignment horizontal="center" vertical="center"/>
    </xf>
    <xf numFmtId="166" fontId="49" fillId="0" borderId="89" xfId="3" applyNumberFormat="1" applyFont="1" applyBorder="1" applyAlignment="1">
      <alignment horizontal="center" vertical="center"/>
    </xf>
    <xf numFmtId="167" fontId="47" fillId="0" borderId="2" xfId="0" applyNumberFormat="1" applyFont="1" applyBorder="1" applyAlignment="1">
      <alignment horizontal="left" vertical="center" wrapText="1"/>
    </xf>
    <xf numFmtId="169" fontId="0" fillId="0" borderId="0" xfId="0" applyNumberFormat="1"/>
    <xf numFmtId="2" fontId="22" fillId="0" borderId="90" xfId="3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2" fontId="2" fillId="0" borderId="0" xfId="0" applyNumberFormat="1" applyFont="1" applyFill="1" applyBorder="1"/>
    <xf numFmtId="2" fontId="13" fillId="0" borderId="29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vertical="center"/>
    </xf>
    <xf numFmtId="166" fontId="49" fillId="0" borderId="0" xfId="3" applyNumberFormat="1" applyFont="1" applyFill="1" applyBorder="1" applyAlignment="1" applyProtection="1">
      <alignment horizontal="center" vertical="center"/>
      <protection locked="0"/>
    </xf>
    <xf numFmtId="166" fontId="4" fillId="0" borderId="0" xfId="3" applyNumberFormat="1" applyFont="1" applyBorder="1" applyAlignment="1">
      <alignment horizontal="right" vertical="center"/>
    </xf>
    <xf numFmtId="2" fontId="17" fillId="3" borderId="42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2" fontId="47" fillId="0" borderId="0" xfId="0" applyNumberFormat="1" applyFont="1" applyBorder="1"/>
    <xf numFmtId="167" fontId="37" fillId="0" borderId="1" xfId="1" applyNumberFormat="1" applyFont="1" applyFill="1" applyBorder="1" applyAlignment="1" applyProtection="1">
      <alignment horizontal="center" vertical="center"/>
      <protection locked="0"/>
    </xf>
    <xf numFmtId="166" fontId="13" fillId="0" borderId="1" xfId="0" applyNumberFormat="1" applyFont="1" applyFill="1" applyBorder="1" applyAlignment="1" applyProtection="1">
      <alignment horizontal="center" vertical="top"/>
    </xf>
    <xf numFmtId="0" fontId="3" fillId="0" borderId="91" xfId="0" applyFont="1" applyFill="1" applyBorder="1" applyAlignment="1"/>
    <xf numFmtId="0" fontId="3" fillId="0" borderId="0" xfId="0" applyFont="1" applyFill="1" applyBorder="1" applyAlignment="1"/>
    <xf numFmtId="166" fontId="22" fillId="0" borderId="0" xfId="3" applyNumberFormat="1" applyFont="1" applyBorder="1" applyAlignment="1">
      <alignment horizontal="center" vertical="center"/>
    </xf>
    <xf numFmtId="166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92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wrapText="1"/>
    </xf>
    <xf numFmtId="0" fontId="5" fillId="0" borderId="96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 wrapText="1"/>
    </xf>
    <xf numFmtId="0" fontId="50" fillId="0" borderId="101" xfId="0" applyFont="1" applyBorder="1" applyAlignment="1">
      <alignment vertical="center"/>
    </xf>
    <xf numFmtId="167" fontId="0" fillId="0" borderId="16" xfId="0" applyNumberFormat="1" applyFont="1" applyBorder="1" applyAlignment="1" applyProtection="1">
      <alignment horizontal="center" vertical="center"/>
    </xf>
    <xf numFmtId="167" fontId="38" fillId="2" borderId="86" xfId="0" applyNumberFormat="1" applyFont="1" applyFill="1" applyBorder="1" applyAlignment="1" applyProtection="1">
      <alignment horizontal="center" vertical="center"/>
      <protection locked="0"/>
    </xf>
    <xf numFmtId="2" fontId="13" fillId="0" borderId="102" xfId="0" applyNumberFormat="1" applyFont="1" applyBorder="1" applyAlignment="1" applyProtection="1">
      <alignment horizontal="center" vertical="center"/>
    </xf>
    <xf numFmtId="166" fontId="4" fillId="0" borderId="103" xfId="0" applyNumberFormat="1" applyFont="1" applyBorder="1" applyAlignment="1" applyProtection="1">
      <alignment horizontal="center" vertical="center"/>
    </xf>
    <xf numFmtId="166" fontId="4" fillId="0" borderId="104" xfId="0" applyNumberFormat="1" applyFont="1" applyBorder="1" applyAlignment="1" applyProtection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left" vertical="center"/>
    </xf>
    <xf numFmtId="2" fontId="32" fillId="0" borderId="0" xfId="0" applyNumberFormat="1" applyFont="1" applyBorder="1"/>
    <xf numFmtId="0" fontId="51" fillId="0" borderId="106" xfId="0" applyFont="1" applyBorder="1" applyAlignment="1">
      <alignment vertical="center"/>
    </xf>
    <xf numFmtId="167" fontId="0" fillId="0" borderId="2" xfId="0" applyNumberFormat="1" applyFont="1" applyBorder="1" applyAlignment="1" applyProtection="1">
      <alignment horizontal="center" vertical="center"/>
    </xf>
    <xf numFmtId="168" fontId="38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3" borderId="107" xfId="0" applyNumberFormat="1" applyFont="1" applyFill="1" applyBorder="1" applyAlignment="1" applyProtection="1">
      <alignment horizontal="center" vertical="center"/>
      <protection locked="0"/>
    </xf>
    <xf numFmtId="166" fontId="4" fillId="3" borderId="108" xfId="0" applyNumberFormat="1" applyFont="1" applyFill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vertical="center"/>
    </xf>
    <xf numFmtId="2" fontId="13" fillId="0" borderId="109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/>
    <xf numFmtId="166" fontId="4" fillId="0" borderId="110" xfId="0" applyNumberFormat="1" applyFont="1" applyBorder="1" applyAlignment="1" applyProtection="1">
      <alignment horizontal="center" vertical="center"/>
    </xf>
    <xf numFmtId="166" fontId="4" fillId="0" borderId="111" xfId="0" applyNumberFormat="1" applyFont="1" applyBorder="1" applyAlignment="1" applyProtection="1">
      <alignment horizontal="center" vertical="center"/>
    </xf>
    <xf numFmtId="2" fontId="38" fillId="2" borderId="2" xfId="0" applyNumberFormat="1" applyFont="1" applyFill="1" applyBorder="1" applyAlignment="1" applyProtection="1">
      <alignment horizontal="center" vertical="center"/>
      <protection locked="0"/>
    </xf>
    <xf numFmtId="2" fontId="13" fillId="0" borderId="112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2" fontId="0" fillId="0" borderId="0" xfId="0" applyNumberFormat="1" applyBorder="1"/>
    <xf numFmtId="2" fontId="0" fillId="0" borderId="2" xfId="0" applyNumberFormat="1" applyFont="1" applyBorder="1" applyAlignment="1" applyProtection="1">
      <alignment horizontal="center" vertical="center"/>
    </xf>
    <xf numFmtId="2" fontId="38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3" borderId="113" xfId="0" applyNumberFormat="1" applyFont="1" applyFill="1" applyBorder="1" applyAlignment="1" applyProtection="1">
      <alignment horizontal="center" vertical="center"/>
      <protection locked="0"/>
    </xf>
    <xf numFmtId="166" fontId="4" fillId="3" borderId="114" xfId="0" applyNumberFormat="1" applyFont="1" applyFill="1" applyBorder="1" applyAlignment="1" applyProtection="1">
      <alignment horizontal="center" vertical="center"/>
      <protection locked="0"/>
    </xf>
    <xf numFmtId="0" fontId="51" fillId="0" borderId="29" xfId="0" applyFont="1" applyBorder="1" applyAlignment="1" applyProtection="1">
      <alignment vertical="center"/>
    </xf>
    <xf numFmtId="2" fontId="38" fillId="2" borderId="86" xfId="0" applyNumberFormat="1" applyFont="1" applyFill="1" applyBorder="1" applyAlignment="1" applyProtection="1">
      <alignment horizontal="center" vertical="center"/>
      <protection locked="0"/>
    </xf>
    <xf numFmtId="167" fontId="47" fillId="0" borderId="2" xfId="0" applyNumberFormat="1" applyFont="1" applyBorder="1" applyAlignment="1">
      <alignment horizontal="left" vertical="center"/>
    </xf>
    <xf numFmtId="167" fontId="38" fillId="2" borderId="3" xfId="0" applyNumberFormat="1" applyFont="1" applyFill="1" applyBorder="1" applyAlignment="1" applyProtection="1">
      <alignment horizontal="center" vertical="center"/>
      <protection locked="0"/>
    </xf>
    <xf numFmtId="2" fontId="13" fillId="0" borderId="115" xfId="0" applyNumberFormat="1" applyFont="1" applyBorder="1" applyAlignment="1" applyProtection="1">
      <alignment horizontal="center" vertical="center"/>
    </xf>
    <xf numFmtId="166" fontId="30" fillId="0" borderId="0" xfId="0" applyNumberFormat="1" applyFont="1" applyBorder="1" applyAlignment="1" applyProtection="1">
      <alignment horizontal="center" vertical="center"/>
    </xf>
    <xf numFmtId="0" fontId="51" fillId="0" borderId="106" xfId="0" applyFont="1" applyFill="1" applyBorder="1" applyAlignment="1" applyProtection="1">
      <alignment vertical="center"/>
    </xf>
    <xf numFmtId="167" fontId="0" fillId="0" borderId="16" xfId="0" applyNumberFormat="1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2" fontId="13" fillId="0" borderId="116" xfId="0" applyNumberFormat="1" applyFont="1" applyBorder="1" applyAlignment="1" applyProtection="1">
      <alignment horizontal="center" vertical="center"/>
    </xf>
    <xf numFmtId="0" fontId="51" fillId="0" borderId="117" xfId="0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/>
    </xf>
    <xf numFmtId="2" fontId="38" fillId="2" borderId="9" xfId="0" applyNumberFormat="1" applyFont="1" applyFill="1" applyBorder="1" applyAlignment="1" applyProtection="1">
      <alignment horizontal="center" vertical="center"/>
      <protection locked="0"/>
    </xf>
    <xf numFmtId="0" fontId="51" fillId="0" borderId="118" xfId="0" applyFont="1" applyBorder="1" applyAlignment="1" applyProtection="1">
      <alignment vertical="center"/>
    </xf>
    <xf numFmtId="167" fontId="0" fillId="0" borderId="4" xfId="0" applyNumberFormat="1" applyFont="1" applyBorder="1" applyAlignment="1" applyProtection="1">
      <alignment horizontal="center" vertical="center"/>
    </xf>
    <xf numFmtId="0" fontId="51" fillId="0" borderId="117" xfId="0" applyFont="1" applyBorder="1" applyAlignment="1">
      <alignment vertical="center"/>
    </xf>
    <xf numFmtId="2" fontId="0" fillId="0" borderId="71" xfId="0" applyNumberFormat="1" applyFont="1" applyBorder="1" applyAlignment="1" applyProtection="1">
      <alignment horizontal="center" vertical="center"/>
    </xf>
    <xf numFmtId="2" fontId="38" fillId="2" borderId="20" xfId="0" applyNumberFormat="1" applyFont="1" applyFill="1" applyBorder="1" applyAlignment="1" applyProtection="1">
      <alignment horizontal="center" vertical="center"/>
      <protection locked="0"/>
    </xf>
    <xf numFmtId="0" fontId="51" fillId="0" borderId="106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Alignment="1"/>
    <xf numFmtId="1" fontId="10" fillId="0" borderId="2" xfId="0" applyNumberFormat="1" applyFont="1" applyBorder="1" applyAlignment="1">
      <alignment horizontal="center" vertical="center" wrapText="1"/>
    </xf>
    <xf numFmtId="0" fontId="51" fillId="0" borderId="106" xfId="0" applyFont="1" applyFill="1" applyBorder="1" applyAlignment="1">
      <alignment vertical="center"/>
    </xf>
    <xf numFmtId="167" fontId="0" fillId="0" borderId="2" xfId="0" applyNumberFormat="1" applyFont="1" applyFill="1" applyBorder="1" applyAlignment="1" applyProtection="1">
      <alignment horizontal="center" vertical="center"/>
    </xf>
    <xf numFmtId="0" fontId="51" fillId="0" borderId="101" xfId="0" applyFont="1" applyBorder="1" applyAlignment="1" applyProtection="1">
      <alignment vertical="center"/>
    </xf>
    <xf numFmtId="167" fontId="0" fillId="0" borderId="3" xfId="0" applyNumberFormat="1" applyFont="1" applyBorder="1" applyAlignment="1" applyProtection="1">
      <alignment horizontal="center" vertical="center"/>
    </xf>
    <xf numFmtId="167" fontId="0" fillId="0" borderId="4" xfId="0" applyNumberFormat="1" applyFont="1" applyBorder="1" applyAlignment="1" applyProtection="1">
      <alignment horizontal="center" vertical="center"/>
    </xf>
    <xf numFmtId="2" fontId="0" fillId="0" borderId="16" xfId="0" applyNumberFormat="1" applyFont="1" applyBorder="1" applyAlignment="1" applyProtection="1">
      <alignment horizontal="center" vertical="center"/>
    </xf>
    <xf numFmtId="2" fontId="38" fillId="2" borderId="16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/>
    <xf numFmtId="167" fontId="47" fillId="0" borderId="2" xfId="0" applyNumberFormat="1" applyFont="1" applyBorder="1" applyAlignment="1">
      <alignment horizontal="center" vertical="center"/>
    </xf>
    <xf numFmtId="0" fontId="51" fillId="0" borderId="118" xfId="0" applyFont="1" applyBorder="1" applyAlignment="1">
      <alignment vertical="center"/>
    </xf>
    <xf numFmtId="167" fontId="0" fillId="0" borderId="13" xfId="0" applyNumberFormat="1" applyFont="1" applyBorder="1" applyAlignment="1" applyProtection="1">
      <alignment horizontal="center" vertical="center"/>
    </xf>
    <xf numFmtId="2" fontId="38" fillId="2" borderId="13" xfId="0" applyNumberFormat="1" applyFont="1" applyFill="1" applyBorder="1" applyAlignment="1" applyProtection="1">
      <alignment horizontal="center" vertical="center"/>
      <protection locked="0"/>
    </xf>
    <xf numFmtId="167" fontId="38" fillId="2" borderId="16" xfId="0" applyNumberFormat="1" applyFont="1" applyFill="1" applyBorder="1" applyAlignment="1" applyProtection="1">
      <alignment horizontal="center" vertical="center"/>
      <protection locked="0"/>
    </xf>
    <xf numFmtId="167" fontId="38" fillId="2" borderId="2" xfId="0" applyNumberFormat="1" applyFont="1" applyFill="1" applyBorder="1" applyAlignment="1" applyProtection="1">
      <alignment horizontal="center" vertical="center"/>
      <protection locked="0"/>
    </xf>
    <xf numFmtId="2" fontId="38" fillId="2" borderId="15" xfId="0" applyNumberFormat="1" applyFont="1" applyFill="1" applyBorder="1" applyAlignment="1" applyProtection="1">
      <alignment horizontal="center" vertical="center"/>
      <protection locked="0"/>
    </xf>
    <xf numFmtId="2" fontId="38" fillId="2" borderId="24" xfId="0" applyNumberFormat="1" applyFont="1" applyFill="1" applyBorder="1" applyAlignment="1" applyProtection="1">
      <alignment horizontal="center" vertical="center"/>
      <protection locked="0"/>
    </xf>
    <xf numFmtId="2" fontId="13" fillId="0" borderId="119" xfId="0" applyNumberFormat="1" applyFont="1" applyBorder="1" applyAlignment="1" applyProtection="1">
      <alignment horizontal="center" vertical="center"/>
    </xf>
    <xf numFmtId="0" fontId="51" fillId="0" borderId="118" xfId="0" applyFont="1" applyFill="1" applyBorder="1" applyAlignment="1" applyProtection="1">
      <alignment vertical="center"/>
    </xf>
    <xf numFmtId="167" fontId="0" fillId="0" borderId="20" xfId="0" applyNumberFormat="1" applyFont="1" applyBorder="1" applyAlignment="1" applyProtection="1">
      <alignment horizontal="center" vertical="center"/>
    </xf>
    <xf numFmtId="167" fontId="0" fillId="0" borderId="120" xfId="0" applyNumberFormat="1" applyFont="1" applyBorder="1" applyAlignment="1" applyProtection="1">
      <alignment horizontal="center" vertical="center"/>
    </xf>
    <xf numFmtId="0" fontId="51" fillId="0" borderId="121" xfId="0" applyFont="1" applyBorder="1" applyAlignment="1" applyProtection="1">
      <alignment vertical="center"/>
    </xf>
    <xf numFmtId="167" fontId="0" fillId="0" borderId="122" xfId="0" applyNumberFormat="1" applyFont="1" applyBorder="1" applyAlignment="1" applyProtection="1">
      <alignment horizontal="center" vertical="center"/>
    </xf>
    <xf numFmtId="2" fontId="38" fillId="2" borderId="123" xfId="0" applyNumberFormat="1" applyFont="1" applyFill="1" applyBorder="1" applyAlignment="1" applyProtection="1">
      <alignment horizontal="center" vertical="center"/>
      <protection locked="0"/>
    </xf>
    <xf numFmtId="2" fontId="13" fillId="0" borderId="124" xfId="0" applyNumberFormat="1" applyFont="1" applyBorder="1" applyAlignment="1" applyProtection="1">
      <alignment horizontal="center" vertical="center"/>
    </xf>
    <xf numFmtId="1" fontId="10" fillId="0" borderId="14" xfId="0" applyNumberFormat="1" applyFont="1" applyBorder="1" applyAlignment="1">
      <alignment horizontal="center" vertical="center" wrapText="1"/>
    </xf>
    <xf numFmtId="2" fontId="13" fillId="0" borderId="125" xfId="0" applyNumberFormat="1" applyFont="1" applyBorder="1" applyAlignment="1" applyProtection="1">
      <alignment horizontal="center" vertical="center"/>
    </xf>
    <xf numFmtId="167" fontId="0" fillId="0" borderId="9" xfId="0" applyNumberFormat="1" applyFont="1" applyBorder="1" applyAlignment="1" applyProtection="1">
      <alignment horizontal="center" vertical="center"/>
    </xf>
    <xf numFmtId="167" fontId="0" fillId="0" borderId="24" xfId="0" applyNumberFormat="1" applyFont="1" applyBorder="1" applyAlignment="1" applyProtection="1">
      <alignment horizontal="center" vertical="center"/>
    </xf>
    <xf numFmtId="2" fontId="13" fillId="0" borderId="126" xfId="0" applyNumberFormat="1" applyFont="1" applyBorder="1" applyAlignment="1" applyProtection="1">
      <alignment horizontal="center" vertical="center"/>
    </xf>
    <xf numFmtId="2" fontId="13" fillId="0" borderId="0" xfId="0" applyNumberFormat="1" applyFont="1" applyBorder="1" applyAlignment="1" applyProtection="1">
      <alignment horizontal="center" vertical="center"/>
    </xf>
    <xf numFmtId="0" fontId="51" fillId="0" borderId="127" xfId="0" applyFont="1" applyBorder="1" applyAlignment="1">
      <alignment vertical="center"/>
    </xf>
    <xf numFmtId="167" fontId="0" fillId="0" borderId="128" xfId="0" applyNumberFormat="1" applyFont="1" applyBorder="1" applyAlignment="1" applyProtection="1">
      <alignment horizontal="center" vertical="center"/>
    </xf>
    <xf numFmtId="2" fontId="38" fillId="2" borderId="128" xfId="0" applyNumberFormat="1" applyFont="1" applyFill="1" applyBorder="1" applyAlignment="1" applyProtection="1">
      <alignment horizontal="center" vertical="center"/>
      <protection locked="0"/>
    </xf>
    <xf numFmtId="2" fontId="13" fillId="0" borderId="129" xfId="0" applyNumberFormat="1" applyFont="1" applyBorder="1" applyAlignment="1" applyProtection="1">
      <alignment horizontal="center" vertical="center"/>
    </xf>
    <xf numFmtId="0" fontId="51" fillId="0" borderId="130" xfId="0" applyFont="1" applyBorder="1" applyAlignment="1">
      <alignment vertical="center"/>
    </xf>
    <xf numFmtId="167" fontId="0" fillId="0" borderId="32" xfId="0" applyNumberFormat="1" applyFont="1" applyBorder="1" applyAlignment="1" applyProtection="1">
      <alignment horizontal="center" vertical="center"/>
    </xf>
    <xf numFmtId="2" fontId="38" fillId="2" borderId="32" xfId="0" applyNumberFormat="1" applyFont="1" applyFill="1" applyBorder="1" applyAlignment="1" applyProtection="1">
      <alignment horizontal="center" vertical="center"/>
      <protection locked="0"/>
    </xf>
    <xf numFmtId="2" fontId="13" fillId="0" borderId="131" xfId="0" applyNumberFormat="1" applyFont="1" applyBorder="1" applyAlignment="1" applyProtection="1">
      <alignment horizontal="center" vertical="center"/>
    </xf>
    <xf numFmtId="1" fontId="10" fillId="0" borderId="2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167" fontId="47" fillId="0" borderId="0" xfId="0" applyNumberFormat="1" applyFont="1" applyBorder="1" applyAlignment="1">
      <alignment horizontal="center" vertical="center"/>
    </xf>
    <xf numFmtId="0" fontId="51" fillId="0" borderId="0" xfId="0" applyFont="1" applyBorder="1" applyAlignment="1">
      <alignment vertical="center"/>
    </xf>
    <xf numFmtId="167" fontId="0" fillId="0" borderId="0" xfId="0" applyNumberFormat="1" applyFont="1" applyBorder="1" applyAlignment="1" applyProtection="1">
      <alignment horizontal="center" vertical="center"/>
    </xf>
    <xf numFmtId="2" fontId="38" fillId="2" borderId="0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center"/>
      <protection locked="0"/>
    </xf>
    <xf numFmtId="0" fontId="17" fillId="0" borderId="0" xfId="3" applyFont="1" applyBorder="1" applyAlignment="1">
      <alignment horizontal="center" vertical="center"/>
    </xf>
    <xf numFmtId="2" fontId="22" fillId="0" borderId="0" xfId="3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28" xfId="0" applyBorder="1"/>
    <xf numFmtId="0" fontId="5" fillId="0" borderId="2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" fontId="39" fillId="0" borderId="132" xfId="0" applyNumberFormat="1" applyFont="1" applyBorder="1" applyAlignment="1" applyProtection="1">
      <alignment horizontal="center" vertical="center"/>
      <protection locked="0"/>
    </xf>
    <xf numFmtId="170" fontId="39" fillId="0" borderId="64" xfId="0" applyNumberFormat="1" applyFont="1" applyBorder="1" applyAlignment="1" applyProtection="1">
      <alignment horizontal="center" vertical="center"/>
      <protection locked="0"/>
    </xf>
    <xf numFmtId="49" fontId="39" fillId="0" borderId="64" xfId="0" applyNumberFormat="1" applyFont="1" applyBorder="1" applyAlignment="1" applyProtection="1">
      <alignment horizontal="center" vertical="center"/>
      <protection locked="0"/>
    </xf>
    <xf numFmtId="49" fontId="17" fillId="0" borderId="133" xfId="3" applyNumberFormat="1" applyFont="1" applyFill="1" applyBorder="1" applyAlignment="1" applyProtection="1">
      <alignment horizontal="center" vertical="center"/>
      <protection locked="0"/>
    </xf>
    <xf numFmtId="49" fontId="17" fillId="0" borderId="134" xfId="3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1" fontId="10" fillId="0" borderId="0" xfId="0" applyNumberFormat="1" applyFont="1" applyBorder="1" applyAlignment="1">
      <alignment horizontal="center" vertical="center" wrapText="1"/>
    </xf>
    <xf numFmtId="49" fontId="17" fillId="0" borderId="135" xfId="3" applyNumberFormat="1" applyFont="1" applyFill="1" applyBorder="1" applyAlignment="1" applyProtection="1">
      <alignment horizontal="center" vertical="center"/>
      <protection locked="0"/>
    </xf>
    <xf numFmtId="49" fontId="17" fillId="0" borderId="136" xfId="3" applyNumberFormat="1" applyFont="1" applyFill="1" applyBorder="1" applyAlignment="1" applyProtection="1">
      <alignment horizontal="center" vertical="center"/>
      <protection locked="0"/>
    </xf>
    <xf numFmtId="49" fontId="4" fillId="0" borderId="136" xfId="0" applyNumberFormat="1" applyFont="1" applyBorder="1" applyAlignment="1" applyProtection="1">
      <alignment horizontal="center" vertical="center"/>
      <protection locked="0"/>
    </xf>
    <xf numFmtId="49" fontId="4" fillId="0" borderId="137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49" fontId="5" fillId="0" borderId="138" xfId="0" applyNumberFormat="1" applyFont="1" applyBorder="1" applyAlignment="1">
      <alignment horizontal="center" vertical="center"/>
    </xf>
    <xf numFmtId="2" fontId="0" fillId="0" borderId="139" xfId="0" applyNumberFormat="1" applyBorder="1" applyAlignment="1">
      <alignment horizontal="center" vertical="center"/>
    </xf>
    <xf numFmtId="0" fontId="0" fillId="0" borderId="140" xfId="0" applyBorder="1"/>
    <xf numFmtId="49" fontId="4" fillId="0" borderId="14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left" vertical="center" wrapText="1"/>
    </xf>
    <xf numFmtId="2" fontId="0" fillId="0" borderId="0" xfId="0" applyNumberFormat="1" applyFont="1" applyBorder="1"/>
    <xf numFmtId="167" fontId="47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39" fillId="0" borderId="142" xfId="0" applyFont="1" applyBorder="1" applyAlignment="1" applyProtection="1">
      <alignment horizontal="center" vertical="center"/>
      <protection locked="0"/>
    </xf>
    <xf numFmtId="0" fontId="39" fillId="0" borderId="142" xfId="0" applyFont="1" applyBorder="1" applyAlignment="1" applyProtection="1">
      <alignment horizontal="left" vertical="center"/>
      <protection locked="0"/>
    </xf>
    <xf numFmtId="49" fontId="17" fillId="0" borderId="142" xfId="3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Border="1"/>
    <xf numFmtId="0" fontId="0" fillId="0" borderId="0" xfId="0" applyBorder="1" applyAlignment="1">
      <alignment wrapText="1"/>
    </xf>
    <xf numFmtId="0" fontId="39" fillId="0" borderId="143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39" fillId="0" borderId="136" xfId="0" applyFont="1" applyBorder="1" applyAlignment="1" applyProtection="1">
      <alignment horizontal="left" vertical="center"/>
      <protection locked="0"/>
    </xf>
    <xf numFmtId="0" fontId="39" fillId="0" borderId="137" xfId="0" applyFont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2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50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Border="1" applyAlignment="1">
      <alignment horizont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55" fillId="0" borderId="0" xfId="0" applyNumberFormat="1" applyFont="1" applyFill="1" applyBorder="1" applyAlignment="1">
      <alignment horizontal="center" vertical="center"/>
    </xf>
    <xf numFmtId="171" fontId="52" fillId="0" borderId="0" xfId="0" applyNumberFormat="1" applyFont="1" applyBorder="1" applyAlignment="1">
      <alignment horizontal="center"/>
    </xf>
    <xf numFmtId="166" fontId="55" fillId="0" borderId="0" xfId="0" applyNumberFormat="1" applyFont="1" applyFill="1" applyBorder="1" applyAlignment="1" applyProtection="1">
      <alignment horizontal="center" vertical="center"/>
    </xf>
    <xf numFmtId="9" fontId="52" fillId="0" borderId="0" xfId="0" applyNumberFormat="1" applyFont="1" applyBorder="1" applyAlignment="1">
      <alignment horizontal="center"/>
    </xf>
    <xf numFmtId="2" fontId="55" fillId="0" borderId="0" xfId="0" applyNumberFormat="1" applyFont="1" applyBorder="1" applyAlignment="1">
      <alignment horizontal="center" vertical="center"/>
    </xf>
  </cellXfs>
  <cellStyles count="17">
    <cellStyle name="Comma 2" xfId="4"/>
    <cellStyle name="Currency 2" xfId="5"/>
    <cellStyle name="Currency 2 2" xfId="6"/>
    <cellStyle name="Currency 2 2 2" xfId="7"/>
    <cellStyle name="Currency 2 3" xfId="2"/>
    <cellStyle name="Normal" xfId="0" builtinId="0"/>
    <cellStyle name="Normal 2" xfId="8"/>
    <cellStyle name="Normal 2 2" xfId="9"/>
    <cellStyle name="Normal 2 2 2" xfId="10"/>
    <cellStyle name="Normal 2 2 2 2" xfId="11"/>
    <cellStyle name="Normal 2 2 2 2 2" xfId="1"/>
    <cellStyle name="Normal 3" xfId="12"/>
    <cellStyle name="Normal 3 2" xfId="3"/>
    <cellStyle name="Normal 4" xfId="13"/>
    <cellStyle name="Normal 5" xfId="14"/>
    <cellStyle name="Normal 6" xfId="15"/>
    <cellStyle name="Normal 7" xfId="16"/>
  </cellStyles>
  <dxfs count="5"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YEAST vs BRIX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12467424905220181"/>
          <c:w val="0.80352405949256345"/>
          <c:h val="0.7270245385993418"/>
        </c:manualLayout>
      </c:layout>
      <c:scatterChart>
        <c:scatterStyle val="lineMarker"/>
        <c:varyColors val="0"/>
        <c:ser>
          <c:idx val="0"/>
          <c:order val="0"/>
          <c:tx>
            <c:v>BRIX ° YEAST g/L</c:v>
          </c:tx>
          <c:spPr>
            <a:ln w="28575">
              <a:noFill/>
            </a:ln>
          </c:spPr>
          <c:marker>
            <c:symbol val="diamond"/>
            <c:size val="5"/>
          </c:marker>
          <c:trendline>
            <c:trendlineType val="linear"/>
            <c:forward val="5"/>
            <c:backward val="3"/>
            <c:dispRSqr val="1"/>
            <c:dispEq val="1"/>
            <c:trendlineLbl>
              <c:layout>
                <c:manualLayout>
                  <c:x val="9.5366787529625546E-2"/>
                  <c:y val="0.61896165860558294"/>
                </c:manualLayout>
              </c:layout>
              <c:numFmt formatCode="General" sourceLinked="0"/>
            </c:trendlineLbl>
          </c:trendline>
          <c:xVal>
            <c:numLit>
              <c:formatCode>General</c:formatCode>
              <c:ptCount val="4"/>
              <c:pt idx="0">
                <c:v>22</c:v>
              </c:pt>
              <c:pt idx="1">
                <c:v>23</c:v>
              </c:pt>
              <c:pt idx="2">
                <c:v>24</c:v>
              </c:pt>
              <c:pt idx="3">
                <c:v>25</c:v>
              </c:pt>
            </c:numLit>
          </c:xVal>
          <c:yVal>
            <c:numLit>
              <c:formatCode>General</c:formatCode>
              <c:ptCount val="4"/>
              <c:pt idx="0">
                <c:v>0.25</c:v>
              </c:pt>
              <c:pt idx="1">
                <c:v>0.26500000000000001</c:v>
              </c:pt>
              <c:pt idx="2">
                <c:v>0.28000000000000003</c:v>
              </c:pt>
              <c:pt idx="3">
                <c:v>0.3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47968"/>
        <c:axId val="150863872"/>
      </c:scatterChart>
      <c:valAx>
        <c:axId val="124147968"/>
        <c:scaling>
          <c:orientation val="minMax"/>
          <c:max val="31.5"/>
          <c:min val="18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Brix 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50863872"/>
        <c:crosses val="autoZero"/>
        <c:crossBetween val="midCat"/>
        <c:majorUnit val="1"/>
        <c:minorUnit val="0.5"/>
      </c:valAx>
      <c:valAx>
        <c:axId val="150863872"/>
        <c:scaling>
          <c:orientation val="minMax"/>
          <c:max val="0.45"/>
          <c:min val="0.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Yeast g/L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147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YAN vs Brix </a:t>
            </a:r>
          </a:p>
          <a:p>
            <a:pPr>
              <a:defRPr/>
            </a:pPr>
            <a:r>
              <a:rPr lang="en-US" sz="1200"/>
              <a:t>Scott Laboratories
2020 Fermentation Handbook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38610041648077"/>
          <c:y val="0.21840788665309549"/>
          <c:w val="0.82946693923220549"/>
          <c:h val="0.62224786972755031"/>
        </c:manualLayout>
      </c:layout>
      <c:scatterChart>
        <c:scatterStyle val="smoothMarker"/>
        <c:varyColors val="0"/>
        <c:ser>
          <c:idx val="1"/>
          <c:order val="1"/>
          <c:xVal>
            <c:numRef>
              <c:f>#REF!</c:f>
            </c:numRef>
          </c:xVal>
          <c:yVal>
            <c:numRef>
              <c:f>#REF!</c:f>
            </c:numRef>
          </c:yVal>
          <c:smooth val="1"/>
        </c:ser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forward val="4"/>
            <c:dispRSqr val="1"/>
            <c:dispEq val="1"/>
            <c:trendlineLbl>
              <c:layout>
                <c:manualLayout>
                  <c:x val="-8.2140433908527391E-2"/>
                  <c:y val="-0.2456500484609235"/>
                </c:manualLayout>
              </c:layout>
              <c:numFmt formatCode="General" sourceLinked="0"/>
            </c:trendlineLbl>
          </c:trendline>
          <c:xVal>
            <c:numLit>
              <c:formatCode>General</c:formatCode>
              <c:ptCount val="4"/>
              <c:pt idx="0">
                <c:v>20</c:v>
              </c:pt>
              <c:pt idx="1">
                <c:v>22</c:v>
              </c:pt>
              <c:pt idx="2">
                <c:v>24</c:v>
              </c:pt>
              <c:pt idx="3">
                <c:v>26</c:v>
              </c:pt>
            </c:numLit>
          </c:xVal>
          <c:yVal>
            <c:numLit>
              <c:formatCode>General</c:formatCode>
              <c:ptCount val="4"/>
              <c:pt idx="0">
                <c:v>150</c:v>
              </c:pt>
              <c:pt idx="1">
                <c:v>165</c:v>
              </c:pt>
              <c:pt idx="2">
                <c:v>180</c:v>
              </c:pt>
              <c:pt idx="3">
                <c:v>195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87872"/>
        <c:axId val="55490048"/>
      </c:scatterChart>
      <c:valAx>
        <c:axId val="55487872"/>
        <c:scaling>
          <c:orientation val="minMax"/>
          <c:max val="30"/>
          <c:min val="2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° Brix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490048"/>
        <c:crosses val="autoZero"/>
        <c:crossBetween val="midCat"/>
        <c:majorUnit val="1"/>
      </c:valAx>
      <c:valAx>
        <c:axId val="55490048"/>
        <c:scaling>
          <c:orientation val="minMax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YAN Level mgN/L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487872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7" dropStyle="combo" dx="16" fmlaLink="A19" fmlaRange="$N$105:$O$121" noThreeD="1" sel="16" val="0"/>
</file>

<file path=xl/ctrlProps/ctrlProp2.xml><?xml version="1.0" encoding="utf-8"?>
<formControlPr xmlns="http://schemas.microsoft.com/office/spreadsheetml/2009/9/main" objectType="Drop" dropLines="45" dropStyle="combo" dx="16" fmlaLink="A30" fmlaRange="$N$55:$O$102" noThreeD="1" sel="1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120</xdr:row>
      <xdr:rowOff>12700</xdr:rowOff>
    </xdr:from>
    <xdr:to>
      <xdr:col>5</xdr:col>
      <xdr:colOff>152401</xdr:colOff>
      <xdr:row>127</xdr:row>
      <xdr:rowOff>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19051" y="32654875"/>
          <a:ext cx="5915025" cy="25495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</a:ln>
      </xdr:spPr>
      <xdr:txBody>
        <a:bodyPr vertOverflow="clip" wrap="square" lIns="36576" tIns="27432" rIns="0" bIns="0" rtlCol="0" anchor="t" upright="1"/>
        <a:lstStyle/>
        <a:p>
          <a:pPr algn="l" rtl="0"/>
          <a:r>
            <a:rPr lang="en-CA" sz="1200" b="1" i="0" u="none" strike="noStrike" baseline="0">
              <a:solidFill>
                <a:srgbClr val="80008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	 </a:t>
          </a:r>
          <a:r>
            <a:rPr lang="en-CA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Data Entry Notes</a:t>
          </a:r>
          <a:endParaRPr lang="en-CA" sz="1000" b="1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100" b="1" i="0" u="none" strike="noStrike" baseline="0">
              <a:solidFill>
                <a:srgbClr val="800080"/>
              </a:solidFill>
              <a:latin typeface="Arial" panose="020B0604020202020204" pitchFamily="34" charset="0"/>
              <a:cs typeface="Arial" panose="020B0604020202020204" pitchFamily="34" charset="0"/>
            </a:rPr>
            <a:t>      </a:t>
          </a:r>
          <a:r>
            <a:rPr lang="en-CA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Enter data</a:t>
          </a:r>
          <a:r>
            <a:rPr lang="en-CA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n-CA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1" i="0" u="none" strike="noStrike" baseline="0">
              <a:solidFill>
                <a:srgbClr val="00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GREEN CELLS</a:t>
          </a:r>
          <a:r>
            <a:rPr lang="en-CA" sz="1200" b="1" i="0" u="none" strike="noStrike" baseline="0">
              <a:solidFill>
                <a:srgbClr val="0099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CA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and calculated results will show in</a:t>
          </a:r>
        </a:p>
        <a:p>
          <a:pPr algn="l" rtl="0"/>
          <a:r>
            <a:rPr lang="en-CA" sz="1200" b="1" i="0" u="none" strike="noStrike" baseline="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BLUE FONTS</a:t>
          </a:r>
          <a:r>
            <a:rPr lang="en-CA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/>
          <a:r>
            <a:rPr lang="en-CA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Increase the Trial Addition </a:t>
          </a:r>
          <a:r>
            <a:rPr lang="en-CA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g/L</a:t>
          </a:r>
          <a:r>
            <a:rPr lang="en-CA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until the</a:t>
          </a:r>
          <a:r>
            <a:rPr lang="en-CA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1" i="0" u="none" strike="noStrike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YAN ADDED BY </a:t>
          </a:r>
          <a:r>
            <a:rPr lang="en-CA" sz="1200" b="1" i="0" u="none" strike="noStrike" baseline="0">
              <a:solidFill>
                <a:srgbClr val="C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NUTRIENTS (CELL C40)</a:t>
          </a:r>
          <a:r>
            <a:rPr lang="en-CA" sz="1200" b="1" i="0" u="none" strike="noStrike" baseline="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matches the</a:t>
          </a:r>
          <a:r>
            <a:rPr lang="en-CA" sz="1200" b="0" i="0" u="none" strike="noStrike" baseline="0">
              <a:solidFill>
                <a:srgbClr val="80008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1" i="0" u="none" strike="noStrike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ADDITIONAL YAN REQUIRED (CELL D30).</a:t>
          </a:r>
          <a:endParaRPr lang="en-CA" sz="12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Edit up to four distributions by assigning the % of each distribution</a:t>
          </a:r>
          <a:r>
            <a:rPr lang="en-CA" sz="1200" b="0" i="0" u="none" strike="noStrike" baseline="0">
              <a:solidFill>
                <a:srgbClr val="80008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/>
          <a:r>
            <a:rPr lang="en-CA" sz="1200" b="0" i="0" u="none" strike="noStrike" baseline="0">
              <a:solidFill>
                <a:srgbClr val="800080"/>
              </a:solidFill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en-CA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Minimize the amount of DAP. Fermaid O and  Fermaid K is better. DO NOT Use DAP during the lag phase of the fermentation. Use DAP  to adjust YAN only when it is very low and before 1/3 drop in Brix.  </a:t>
          </a:r>
          <a:r>
            <a:rPr lang="en-CA" sz="1200" b="1" i="0" u="none" strike="noStrike" baseline="0">
              <a:solidFill>
                <a:srgbClr val="C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Use GoFerm at rehydration.</a:t>
          </a:r>
        </a:p>
        <a:p>
          <a:pPr algn="l" rtl="0"/>
          <a:r>
            <a:rPr lang="en-CA" sz="1200" b="1" i="0" u="none" strike="noStrike" baseline="0">
              <a:solidFill>
                <a:srgbClr val="C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</a:t>
          </a:r>
        </a:p>
        <a:p>
          <a:pPr algn="l" rtl="0"/>
          <a:r>
            <a:rPr lang="en-CA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NOTE:—</a:t>
          </a:r>
        </a:p>
        <a:p>
          <a:pPr algn="l" rtl="0"/>
          <a:r>
            <a:rPr lang="en-CA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en-CA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Spontaneous fermentation will consume all initial YAN in </a:t>
          </a:r>
          <a:r>
            <a:rPr lang="en-CA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hours. </a:t>
          </a:r>
          <a:r>
            <a:rPr lang="en-CA" sz="1200" b="1" i="0" u="none" strike="noStrike" baseline="0">
              <a:solidFill>
                <a:srgbClr val="80008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</a:p>
        <a:p>
          <a:pPr algn="l" rtl="0"/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For 22° Brix must minimum YAN for healthy growth is 175 ±  mgN/L     </a:t>
          </a:r>
          <a:endParaRPr lang="en-CA" sz="1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200" b="0" i="0" u="none" strike="noStrike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n-CA" sz="1000" b="0" i="0" u="none" strike="noStrike" baseline="0">
              <a:solidFill>
                <a:srgbClr val="80008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</a:t>
          </a:r>
          <a:endParaRPr lang="en-CA" sz="1000" b="0" i="0" u="none" strike="noStrike" baseline="0">
            <a:solidFill>
              <a:srgbClr val="0000FF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000" b="0" i="0" u="none" strike="noStrike" baseline="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</a:t>
          </a:r>
        </a:p>
      </xdr:txBody>
    </xdr:sp>
    <xdr:clientData/>
  </xdr:twoCellAnchor>
  <xdr:twoCellAnchor>
    <xdr:from>
      <xdr:col>5</xdr:col>
      <xdr:colOff>276225</xdr:colOff>
      <xdr:row>120</xdr:row>
      <xdr:rowOff>9525</xdr:rowOff>
    </xdr:from>
    <xdr:to>
      <xdr:col>11</xdr:col>
      <xdr:colOff>3175</xdr:colOff>
      <xdr:row>127</xdr:row>
      <xdr:rowOff>0</xdr:rowOff>
    </xdr:to>
    <xdr:sp macro="" textlink="">
      <xdr:nvSpPr>
        <xdr:cNvPr id="3" name="Text Box 54"/>
        <xdr:cNvSpPr txBox="1">
          <a:spLocks noChangeArrowheads="1"/>
        </xdr:cNvSpPr>
      </xdr:nvSpPr>
      <xdr:spPr bwMode="auto">
        <a:xfrm>
          <a:off x="6057900" y="32651700"/>
          <a:ext cx="6657975" cy="25527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</a:ln>
      </xdr:spPr>
      <xdr:txBody>
        <a:bodyPr vertOverflow="clip" wrap="square" lIns="27432" tIns="22860" rIns="0" bIns="0" rtlCol="0" anchor="t" upright="1"/>
        <a:lstStyle/>
        <a:p>
          <a:pPr algn="l" rtl="0"/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	    Yeast Rehydration Notes</a:t>
          </a:r>
          <a:endParaRPr lang="en-CA" sz="1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Dissolve </a:t>
          </a:r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GoFerm</a:t>
          </a:r>
          <a:r>
            <a:rPr lang="en-CA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a volume of water 20 times it's weight </a:t>
          </a:r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at 43°C (110°F</a:t>
          </a:r>
          <a:r>
            <a:rPr lang="en-CA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). </a:t>
          </a:r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Allow to cool below 40°C (104°F) before adding yeast.</a:t>
          </a:r>
          <a:r>
            <a:rPr lang="en-CA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Allow yeast to absorb water and stir gently to break up any clumps. Let mixture stand for 15 minutes. Then gently stir in an equal amount of must over a 5 minute period. Bring the inoculant temperature down very gradually to less than </a:t>
          </a:r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10°C</a:t>
          </a:r>
          <a:r>
            <a:rPr lang="en-CA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difference. Then add the inoculant to the must on the surface and around the edges. After 15 minutes mix in thoroughly.</a:t>
          </a:r>
        </a:p>
        <a:p>
          <a:pPr algn="l" rtl="0"/>
          <a:endParaRPr lang="en-CA" sz="1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en-CA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:—</a:t>
          </a:r>
        </a:p>
        <a:p>
          <a:pPr algn="l" rtl="0"/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Do not use </a:t>
          </a:r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chlorinated water or </a:t>
          </a:r>
          <a:r>
            <a:rPr lang="en-CA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distilled water, yeast require trace minerals in the water. Only use GoFerm </a:t>
          </a:r>
          <a:r>
            <a:rPr lang="en-CA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 DAP, Fermaid K or Superfood for rehydration.</a:t>
          </a:r>
          <a:endParaRPr lang="en-CA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</a:p>
        <a:p>
          <a:pPr algn="l" rtl="0"/>
          <a:r>
            <a:rPr lang="en-CA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..</a:t>
          </a: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000</a:t>
          </a: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00.</a:t>
          </a: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0.</a:t>
          </a:r>
        </a:p>
        <a:p>
          <a:pPr algn="l" rtl="0"/>
          <a:r>
            <a:rPr lang="en-CA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.</a:t>
          </a:r>
        </a:p>
        <a:p>
          <a:pPr algn="l" rtl="0"/>
          <a:r>
            <a:rPr lang="en-CA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00000000000000000000000000000000000000000000000000000000000000000000000000000000000000000000000000000000000000000000000000000000000000000000000000000000000000000000000000000000000000000000000000000000000.</a:t>
          </a: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endParaRPr lang="en-CA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/>
          <a:r>
            <a:rPr lang="en-CA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 30 minutes and then stir in an equal amount of must over a 5 minute period. Keep adding must until temperature is well within 10 °C of the must. The inoculate can be immersed in the must until temperatures have balanced. </a:t>
          </a:r>
        </a:p>
      </xdr:txBody>
    </xdr:sp>
    <xdr:clientData/>
  </xdr:twoCellAnchor>
  <xdr:twoCellAnchor>
    <xdr:from>
      <xdr:col>13</xdr:col>
      <xdr:colOff>47625</xdr:colOff>
      <xdr:row>5</xdr:row>
      <xdr:rowOff>104775</xdr:rowOff>
    </xdr:from>
    <xdr:to>
      <xdr:col>19</xdr:col>
      <xdr:colOff>800100</xdr:colOff>
      <xdr:row>20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561975</xdr:colOff>
      <xdr:row>23</xdr:row>
      <xdr:rowOff>142875</xdr:rowOff>
    </xdr:from>
    <xdr:to>
      <xdr:col>19</xdr:col>
      <xdr:colOff>600075</xdr:colOff>
      <xdr:row>36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28575</xdr:colOff>
      <xdr:row>18</xdr:row>
      <xdr:rowOff>19050</xdr:rowOff>
    </xdr:from>
    <xdr:to>
      <xdr:col>0</xdr:col>
      <xdr:colOff>1000125</xdr:colOff>
      <xdr:row>18</xdr:row>
      <xdr:rowOff>219075</xdr:rowOff>
    </xdr:to>
    <xdr:sp macro="" textlink="">
      <xdr:nvSpPr>
        <xdr:cNvPr id="6" name="Drop Down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8575" y="5000625"/>
          <a:ext cx="971550" cy="200025"/>
        </a:xfrm>
        <a:prstGeom prst="rect">
          <a:avLst/>
        </a:prstGeom>
      </xdr:spPr>
    </xdr:sp>
    <xdr:clientData fLocksWithSheet="0"/>
  </xdr:twoCellAnchor>
  <xdr:twoCellAnchor editAs="oneCell">
    <xdr:from>
      <xdr:col>0</xdr:col>
      <xdr:colOff>38100</xdr:colOff>
      <xdr:row>29</xdr:row>
      <xdr:rowOff>19050</xdr:rowOff>
    </xdr:from>
    <xdr:to>
      <xdr:col>0</xdr:col>
      <xdr:colOff>1000125</xdr:colOff>
      <xdr:row>29</xdr:row>
      <xdr:rowOff>228600</xdr:rowOff>
    </xdr:to>
    <xdr:sp macro="" textlink="">
      <xdr:nvSpPr>
        <xdr:cNvPr id="7" name="Drop Down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38100" y="8267700"/>
          <a:ext cx="962025" cy="209550"/>
        </a:xfrm>
        <a:prstGeom prst="rect">
          <a:avLst/>
        </a:prstGeom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18</xdr:row>
          <xdr:rowOff>19050</xdr:rowOff>
        </xdr:from>
        <xdr:to>
          <xdr:col>0</xdr:col>
          <xdr:colOff>1219200</xdr:colOff>
          <xdr:row>18</xdr:row>
          <xdr:rowOff>228600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28575</xdr:rowOff>
        </xdr:from>
        <xdr:to>
          <xdr:col>0</xdr:col>
          <xdr:colOff>1228725</xdr:colOff>
          <xdr:row>29</xdr:row>
          <xdr:rowOff>228600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0</xdr:col>
      <xdr:colOff>165100</xdr:colOff>
      <xdr:row>2</xdr:row>
      <xdr:rowOff>241300</xdr:rowOff>
    </xdr:from>
    <xdr:to>
      <xdr:col>10</xdr:col>
      <xdr:colOff>762000</xdr:colOff>
      <xdr:row>2</xdr:row>
      <xdr:rowOff>254000</xdr:rowOff>
    </xdr:to>
    <xdr:cxnSp macro="">
      <xdr:nvCxnSpPr>
        <xdr:cNvPr id="10" name="Straight Connector 9"/>
        <xdr:cNvCxnSpPr/>
      </xdr:nvCxnSpPr>
      <xdr:spPr>
        <a:xfrm>
          <a:off x="165100" y="869950"/>
          <a:ext cx="12245975" cy="1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4754</xdr:colOff>
      <xdr:row>57</xdr:row>
      <xdr:rowOff>43656</xdr:rowOff>
    </xdr:from>
    <xdr:to>
      <xdr:col>2</xdr:col>
      <xdr:colOff>547678</xdr:colOff>
      <xdr:row>57</xdr:row>
      <xdr:rowOff>166056</xdr:rowOff>
    </xdr:to>
    <xdr:sp macro="" textlink="">
      <xdr:nvSpPr>
        <xdr:cNvPr id="11" name="Right Arrow 10"/>
        <xdr:cNvSpPr/>
      </xdr:nvSpPr>
      <xdr:spPr>
        <a:xfrm>
          <a:off x="2500304" y="15007431"/>
          <a:ext cx="542924" cy="12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0</xdr:col>
      <xdr:colOff>699301</xdr:colOff>
      <xdr:row>57</xdr:row>
      <xdr:rowOff>55562</xdr:rowOff>
    </xdr:from>
    <xdr:to>
      <xdr:col>0</xdr:col>
      <xdr:colOff>1243021</xdr:colOff>
      <xdr:row>57</xdr:row>
      <xdr:rowOff>178241</xdr:rowOff>
    </xdr:to>
    <xdr:sp macro="" textlink="">
      <xdr:nvSpPr>
        <xdr:cNvPr id="12" name="Right Arrow 11"/>
        <xdr:cNvSpPr/>
      </xdr:nvSpPr>
      <xdr:spPr>
        <a:xfrm rot="10800000">
          <a:off x="699301" y="15019337"/>
          <a:ext cx="543720" cy="12267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l/Documents/Wine/2023%20Records/Viognier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23"/>
      <sheetName val="Ferment Log"/>
      <sheetName val="TA|pH Titration"/>
      <sheetName val="SC-55 CALC"/>
      <sheetName val="TempBrixCurve"/>
      <sheetName val="pH Reduction"/>
      <sheetName val="C—Max"/>
      <sheetName val="Yeast Chart"/>
      <sheetName val="Clos Refrac Adjust"/>
      <sheetName val="MT Refrac Adjust"/>
      <sheetName val="Blend"/>
      <sheetName val="MLB Chart"/>
      <sheetName val="Pearson's Square"/>
      <sheetName val="AVA"/>
      <sheetName val="Yeast Multipliers"/>
      <sheetName val="Grape Symbols"/>
      <sheetName val="Carboy Vol. Balance"/>
      <sheetName val="Ripeness"/>
      <sheetName val="Renaissance Ye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65"/>
  <sheetViews>
    <sheetView showGridLines="0" tabSelected="1" topLeftCell="A25" zoomScale="75" zoomScaleNormal="75" workbookViewId="0">
      <selection activeCell="F90" sqref="F90"/>
    </sheetView>
  </sheetViews>
  <sheetFormatPr defaultRowHeight="12.75" outlineLevelRow="1" outlineLevelCol="1" x14ac:dyDescent="0.2"/>
  <cols>
    <col min="1" max="3" width="18.7109375" customWidth="1"/>
    <col min="4" max="6" width="15.28515625" customWidth="1"/>
    <col min="7" max="7" width="21.140625" customWidth="1"/>
    <col min="8" max="8" width="18.5703125" customWidth="1"/>
    <col min="9" max="9" width="16.42578125" customWidth="1"/>
    <col min="10" max="10" width="16.5703125" customWidth="1"/>
    <col min="11" max="11" width="16" customWidth="1"/>
    <col min="12" max="12" width="7" hidden="1" customWidth="1" outlineLevel="1"/>
    <col min="13" max="13" width="8.5703125" hidden="1" customWidth="1" outlineLevel="1"/>
    <col min="14" max="14" width="25.85546875" hidden="1" customWidth="1" outlineLevel="1"/>
    <col min="15" max="15" width="13.42578125" hidden="1" customWidth="1" outlineLevel="1"/>
    <col min="16" max="16" width="9" hidden="1" customWidth="1" outlineLevel="1"/>
    <col min="17" max="17" width="7.140625" style="5" hidden="1" customWidth="1" outlineLevel="1"/>
    <col min="18" max="18" width="7" hidden="1" customWidth="1" outlineLevel="1"/>
    <col min="19" max="19" width="6.5703125" hidden="1" customWidth="1" outlineLevel="1"/>
    <col min="20" max="20" width="12.42578125" hidden="1" customWidth="1" outlineLevel="1"/>
    <col min="21" max="21" width="11.7109375" hidden="1" customWidth="1" outlineLevel="1"/>
    <col min="22" max="22" width="7.7109375" hidden="1" customWidth="1" outlineLevel="1"/>
    <col min="23" max="23" width="11.28515625" hidden="1" customWidth="1" outlineLevel="1"/>
    <col min="24" max="24" width="9.140625" customWidth="1" collapsed="1"/>
  </cols>
  <sheetData>
    <row r="1" spans="1:23" ht="24.95" customHeight="1" x14ac:dyDescent="0.2">
      <c r="A1" s="1"/>
      <c r="C1" s="2" t="s">
        <v>0</v>
      </c>
      <c r="D1" s="2"/>
      <c r="E1" s="2"/>
      <c r="F1" s="2"/>
      <c r="G1" s="2"/>
      <c r="H1" s="3" t="s">
        <v>1</v>
      </c>
      <c r="I1" s="3"/>
      <c r="J1" s="4"/>
      <c r="K1" s="4"/>
    </row>
    <row r="2" spans="1:23" ht="24.95" customHeight="1" x14ac:dyDescent="0.2">
      <c r="A2" s="6" t="s">
        <v>2</v>
      </c>
      <c r="B2" s="7" t="s">
        <v>3</v>
      </c>
      <c r="C2" s="7"/>
      <c r="D2" s="8" t="s">
        <v>4</v>
      </c>
      <c r="E2" s="9">
        <v>45174</v>
      </c>
      <c r="F2" s="8" t="s">
        <v>5</v>
      </c>
      <c r="G2" s="10" t="s">
        <v>6</v>
      </c>
      <c r="H2" s="11"/>
      <c r="I2" s="11"/>
      <c r="J2" s="12" t="s">
        <v>7</v>
      </c>
      <c r="K2" s="12"/>
    </row>
    <row r="3" spans="1:23" ht="26.25" customHeight="1" x14ac:dyDescent="0.2">
      <c r="A3" s="13"/>
      <c r="B3" s="14" t="s">
        <v>8</v>
      </c>
      <c r="C3" s="14"/>
      <c r="D3" s="15" t="s">
        <v>9</v>
      </c>
      <c r="E3" s="16" t="s">
        <v>10</v>
      </c>
      <c r="F3" s="15" t="s">
        <v>11</v>
      </c>
      <c r="G3" s="17">
        <v>2.0499999999999998</v>
      </c>
      <c r="H3" s="18"/>
      <c r="I3" s="18"/>
      <c r="J3" s="19"/>
      <c r="K3" s="19"/>
    </row>
    <row r="4" spans="1:23" ht="24.95" customHeight="1" x14ac:dyDescent="0.2">
      <c r="A4" s="20" t="s">
        <v>12</v>
      </c>
      <c r="B4" s="21"/>
      <c r="C4" s="21"/>
      <c r="D4" s="21"/>
      <c r="E4" s="21"/>
      <c r="F4" s="21"/>
      <c r="G4" s="21"/>
      <c r="H4" s="21"/>
      <c r="I4" s="22"/>
      <c r="J4" s="22"/>
      <c r="K4" s="22"/>
    </row>
    <row r="5" spans="1:23" ht="21.75" customHeight="1" outlineLevel="1" x14ac:dyDescent="0.25">
      <c r="A5" s="23" t="s">
        <v>13</v>
      </c>
      <c r="B5" s="23"/>
      <c r="C5" s="23"/>
      <c r="D5" s="23" t="s">
        <v>13</v>
      </c>
      <c r="E5" s="23"/>
      <c r="F5" s="23"/>
      <c r="H5" s="23" t="s">
        <v>14</v>
      </c>
      <c r="I5" s="23"/>
      <c r="J5" s="23"/>
      <c r="K5" s="23"/>
    </row>
    <row r="6" spans="1:23" ht="45" customHeight="1" outlineLevel="1" x14ac:dyDescent="0.2">
      <c r="A6" s="24" t="s">
        <v>15</v>
      </c>
      <c r="B6" s="24" t="s">
        <v>16</v>
      </c>
      <c r="C6" s="25" t="s">
        <v>17</v>
      </c>
      <c r="D6" s="26" t="s">
        <v>15</v>
      </c>
      <c r="E6" s="24" t="s">
        <v>18</v>
      </c>
      <c r="F6" s="25" t="s">
        <v>17</v>
      </c>
      <c r="H6" s="24" t="s">
        <v>15</v>
      </c>
      <c r="I6" s="27" t="s">
        <v>19</v>
      </c>
      <c r="J6" s="24" t="s">
        <v>20</v>
      </c>
      <c r="K6" s="25" t="s">
        <v>21</v>
      </c>
    </row>
    <row r="7" spans="1:23" ht="18" customHeight="1" outlineLevel="1" x14ac:dyDescent="0.2">
      <c r="A7" s="28" t="s">
        <v>22</v>
      </c>
      <c r="B7" s="29">
        <v>80</v>
      </c>
      <c r="C7" s="30">
        <f>IF(B7="","",(0.00002*B7^2)-(0.0667*B7)+25.245)</f>
        <v>20.037000000000003</v>
      </c>
      <c r="D7" s="31" t="s">
        <v>23</v>
      </c>
      <c r="E7" s="29">
        <v>145</v>
      </c>
      <c r="F7" s="30">
        <f>IF(E7="","",(0.00002*E7^2)-(0.0667*E7)+25.245)</f>
        <v>15.994000000000002</v>
      </c>
      <c r="H7" s="28" t="s">
        <v>22</v>
      </c>
      <c r="I7" s="32">
        <v>50.1</v>
      </c>
      <c r="J7" s="33">
        <v>2.8</v>
      </c>
      <c r="K7" s="34">
        <f>IF(I7="","",I7-J7)</f>
        <v>47.300000000000004</v>
      </c>
    </row>
    <row r="8" spans="1:23" ht="18" customHeight="1" outlineLevel="1" x14ac:dyDescent="0.25">
      <c r="A8" s="35" t="s">
        <v>24</v>
      </c>
      <c r="B8" s="29">
        <v>223</v>
      </c>
      <c r="C8" s="30">
        <f t="shared" ref="C8:C12" si="0">IF(B8="","",(0.00002*B8^2)-(0.0667*B8)+25.245)</f>
        <v>11.365480000000003</v>
      </c>
      <c r="D8" s="36" t="s">
        <v>25</v>
      </c>
      <c r="E8" s="29">
        <v>180</v>
      </c>
      <c r="F8" s="30">
        <f t="shared" ref="F8:F12" si="1">IF(E8="","",(0.00002*E8^2)-(0.0667*E8)+25.245)</f>
        <v>13.887000000000002</v>
      </c>
      <c r="H8" s="35" t="s">
        <v>24</v>
      </c>
      <c r="I8" s="32">
        <v>30.09</v>
      </c>
      <c r="J8" s="37">
        <v>2.89</v>
      </c>
      <c r="K8" s="34">
        <f>IF(I8="","",I8-J8)</f>
        <v>27.2</v>
      </c>
    </row>
    <row r="9" spans="1:23" ht="18" customHeight="1" outlineLevel="1" x14ac:dyDescent="0.2">
      <c r="A9" s="28" t="s">
        <v>26</v>
      </c>
      <c r="B9" s="29">
        <v>93</v>
      </c>
      <c r="C9" s="30">
        <f t="shared" si="0"/>
        <v>19.214880000000001</v>
      </c>
      <c r="D9" s="31"/>
      <c r="E9" s="29"/>
      <c r="F9" s="30" t="str">
        <f t="shared" si="1"/>
        <v/>
      </c>
      <c r="H9" s="28" t="s">
        <v>26</v>
      </c>
      <c r="I9" s="32">
        <v>48.54</v>
      </c>
      <c r="J9" s="37">
        <v>2.87</v>
      </c>
      <c r="K9" s="34">
        <f t="shared" ref="K9:K11" si="2">IF(I9="","",I9-J9)</f>
        <v>45.67</v>
      </c>
    </row>
    <row r="10" spans="1:23" ht="18" customHeight="1" outlineLevel="1" x14ac:dyDescent="0.25">
      <c r="A10" s="35" t="s">
        <v>27</v>
      </c>
      <c r="B10" s="29">
        <v>87</v>
      </c>
      <c r="C10" s="30">
        <f t="shared" si="0"/>
        <v>19.59348</v>
      </c>
      <c r="D10" s="36" t="s">
        <v>23</v>
      </c>
      <c r="E10" s="29">
        <v>30</v>
      </c>
      <c r="F10" s="30">
        <f t="shared" si="1"/>
        <v>23.262</v>
      </c>
      <c r="H10" s="35" t="s">
        <v>27</v>
      </c>
      <c r="I10" s="32">
        <v>48.97</v>
      </c>
      <c r="J10" s="37">
        <v>2.54</v>
      </c>
      <c r="K10" s="34">
        <f t="shared" si="2"/>
        <v>46.43</v>
      </c>
    </row>
    <row r="11" spans="1:23" ht="18" customHeight="1" outlineLevel="1" x14ac:dyDescent="0.2">
      <c r="A11" s="28"/>
      <c r="B11" s="29"/>
      <c r="C11" s="30" t="str">
        <f t="shared" si="0"/>
        <v/>
      </c>
      <c r="D11" s="31" t="s">
        <v>25</v>
      </c>
      <c r="E11" s="29">
        <v>26</v>
      </c>
      <c r="F11" s="30">
        <f t="shared" si="1"/>
        <v>23.524319999999999</v>
      </c>
      <c r="H11" s="28"/>
      <c r="I11" s="38"/>
      <c r="J11" s="37"/>
      <c r="K11" s="34" t="str">
        <f t="shared" si="2"/>
        <v/>
      </c>
    </row>
    <row r="12" spans="1:23" ht="18" customHeight="1" outlineLevel="1" thickBot="1" x14ac:dyDescent="0.3">
      <c r="A12" s="35"/>
      <c r="B12" s="29"/>
      <c r="C12" s="30" t="str">
        <f t="shared" si="0"/>
        <v/>
      </c>
      <c r="D12" s="29"/>
      <c r="E12" s="29"/>
      <c r="F12" s="30" t="str">
        <f t="shared" si="1"/>
        <v/>
      </c>
      <c r="H12" s="35"/>
      <c r="I12" s="38"/>
      <c r="J12" s="38"/>
      <c r="K12" s="34" t="str">
        <f>IF(I12="","",I12-I13)</f>
        <v/>
      </c>
    </row>
    <row r="13" spans="1:23" ht="18" customHeight="1" outlineLevel="1" thickTop="1" x14ac:dyDescent="0.2">
      <c r="A13" s="39" t="s">
        <v>28</v>
      </c>
      <c r="B13" s="39"/>
      <c r="C13" s="40">
        <f>SUM(C7:C12)</f>
        <v>70.210840000000005</v>
      </c>
      <c r="D13" s="41" t="s">
        <v>29</v>
      </c>
      <c r="E13" s="39"/>
      <c r="F13" s="42">
        <f>SUM(F7:F12)</f>
        <v>76.667320000000004</v>
      </c>
      <c r="I13" s="43"/>
      <c r="J13" s="44" t="s">
        <v>30</v>
      </c>
      <c r="K13" s="42">
        <f>SUM(K7:K12)</f>
        <v>166.6</v>
      </c>
    </row>
    <row r="14" spans="1:23" ht="18" customHeight="1" x14ac:dyDescent="0.25">
      <c r="A14" s="45"/>
      <c r="B14" s="45"/>
      <c r="C14" s="45"/>
      <c r="D14" s="45"/>
      <c r="E14" s="45"/>
      <c r="F14" s="45"/>
      <c r="G14" s="45"/>
      <c r="H14" s="45"/>
      <c r="I14" s="46"/>
      <c r="J14" s="46"/>
      <c r="K14" s="46"/>
      <c r="L14" s="47"/>
      <c r="M14" s="47"/>
      <c r="N14" s="47"/>
    </row>
    <row r="15" spans="1:23" ht="20.25" customHeight="1" x14ac:dyDescent="0.25">
      <c r="A15" s="48" t="s">
        <v>31</v>
      </c>
      <c r="B15" s="48"/>
      <c r="C15" s="48"/>
      <c r="D15" s="48"/>
      <c r="E15" s="48"/>
      <c r="F15" s="48"/>
      <c r="G15" s="49"/>
      <c r="J15" s="50" t="s">
        <v>32</v>
      </c>
      <c r="K15" s="50"/>
      <c r="L15" s="49"/>
    </row>
    <row r="16" spans="1:23" ht="20.25" customHeight="1" x14ac:dyDescent="0.2">
      <c r="A16" s="51" t="s">
        <v>33</v>
      </c>
      <c r="B16" s="52" t="s">
        <v>34</v>
      </c>
      <c r="C16" s="53" t="s">
        <v>35</v>
      </c>
      <c r="D16" s="51" t="s">
        <v>36</v>
      </c>
      <c r="E16" s="54" t="s">
        <v>37</v>
      </c>
      <c r="F16" s="54" t="s">
        <v>38</v>
      </c>
      <c r="J16" s="55" t="s">
        <v>39</v>
      </c>
      <c r="K16" s="56">
        <v>3.45</v>
      </c>
      <c r="Q16" s="57"/>
      <c r="R16" s="49"/>
      <c r="S16" s="58"/>
      <c r="V16" s="59" t="s">
        <v>40</v>
      </c>
      <c r="W16" s="60" t="s">
        <v>41</v>
      </c>
    </row>
    <row r="17" spans="1:23" ht="20.25" customHeight="1" x14ac:dyDescent="0.2">
      <c r="A17" s="61"/>
      <c r="B17" s="62"/>
      <c r="C17" s="63"/>
      <c r="D17" s="61"/>
      <c r="E17" s="64"/>
      <c r="F17" s="64"/>
      <c r="J17" s="55" t="s">
        <v>42</v>
      </c>
      <c r="K17" s="65">
        <v>12.7</v>
      </c>
      <c r="S17" s="49"/>
      <c r="T17" s="58"/>
      <c r="V17" s="66">
        <v>22</v>
      </c>
      <c r="W17" s="67">
        <v>0.25</v>
      </c>
    </row>
    <row r="18" spans="1:23" ht="20.25" customHeight="1" thickBot="1" x14ac:dyDescent="0.25">
      <c r="A18" s="61"/>
      <c r="B18" s="68"/>
      <c r="C18" s="69"/>
      <c r="D18" s="70"/>
      <c r="E18" s="71"/>
      <c r="F18" s="71"/>
      <c r="J18" s="55" t="s">
        <v>43</v>
      </c>
      <c r="K18" s="65">
        <v>27</v>
      </c>
      <c r="S18" s="49"/>
      <c r="T18" s="58"/>
      <c r="V18" s="72">
        <v>23</v>
      </c>
      <c r="W18" s="73">
        <v>0.26500000000000001</v>
      </c>
    </row>
    <row r="19" spans="1:23" ht="20.100000000000001" customHeight="1" thickTop="1" thickBot="1" x14ac:dyDescent="0.3">
      <c r="A19" s="74">
        <v>16</v>
      </c>
      <c r="B19" s="75">
        <v>175</v>
      </c>
      <c r="C19" s="76">
        <f>B19*INDEX(Grape_yield,$A$19,3)</f>
        <v>49.577500000000001</v>
      </c>
      <c r="D19" s="77">
        <v>22.7</v>
      </c>
      <c r="E19" s="78">
        <f>0.57*D19</f>
        <v>12.938999999999998</v>
      </c>
      <c r="F19" s="79">
        <f>(C19/0.75)*0.9</f>
        <v>59.493000000000009</v>
      </c>
      <c r="J19" s="80" t="s">
        <v>44</v>
      </c>
      <c r="K19" s="81">
        <f>IF(K16&gt;=3.5,-0.025*K17+0.425,-0.025*K17+0.4)*K18*1.34</f>
        <v>2.9848500000000007</v>
      </c>
      <c r="N19" s="49"/>
      <c r="R19" s="49"/>
      <c r="S19" s="49"/>
      <c r="T19" s="58"/>
      <c r="V19" s="82">
        <v>24</v>
      </c>
      <c r="W19" s="83">
        <v>0.28000000000000003</v>
      </c>
    </row>
    <row r="20" spans="1:23" ht="20.25" customHeight="1" thickTop="1" x14ac:dyDescent="0.2">
      <c r="A20" s="84"/>
      <c r="B20" s="85"/>
      <c r="C20" s="85"/>
      <c r="D20" s="85"/>
      <c r="E20" s="86"/>
      <c r="F20" s="86"/>
      <c r="I20" s="87"/>
      <c r="N20" s="49"/>
      <c r="R20" s="49"/>
      <c r="S20" s="49"/>
      <c r="T20" s="58"/>
      <c r="V20" s="88">
        <v>25</v>
      </c>
      <c r="W20" s="89">
        <v>0.3</v>
      </c>
    </row>
    <row r="21" spans="1:23" ht="15" customHeight="1" x14ac:dyDescent="0.25">
      <c r="A21" s="90" t="s">
        <v>45</v>
      </c>
      <c r="B21" s="90"/>
      <c r="C21" s="90"/>
      <c r="D21" s="90"/>
      <c r="E21" s="90"/>
      <c r="F21" s="91"/>
      <c r="G21" s="90" t="s">
        <v>46</v>
      </c>
      <c r="H21" s="90"/>
      <c r="I21" s="90"/>
      <c r="J21" s="90"/>
      <c r="K21" s="90"/>
      <c r="N21" s="49"/>
      <c r="R21" s="49"/>
      <c r="S21" s="49"/>
      <c r="T21" s="58"/>
      <c r="V21" s="49"/>
      <c r="W21" s="92"/>
    </row>
    <row r="22" spans="1:23" ht="33" customHeight="1" x14ac:dyDescent="0.2">
      <c r="A22" s="93" t="s">
        <v>47</v>
      </c>
      <c r="B22" s="93" t="s">
        <v>48</v>
      </c>
      <c r="C22" s="93" t="s">
        <v>49</v>
      </c>
      <c r="D22" s="94" t="s">
        <v>50</v>
      </c>
      <c r="E22" s="95" t="s">
        <v>51</v>
      </c>
      <c r="G22" s="96" t="s">
        <v>52</v>
      </c>
      <c r="H22" s="97" t="s">
        <v>53</v>
      </c>
      <c r="I22" s="96" t="s">
        <v>54</v>
      </c>
      <c r="J22" s="98" t="s">
        <v>55</v>
      </c>
      <c r="K22" s="96" t="s">
        <v>56</v>
      </c>
      <c r="N22" s="49"/>
      <c r="R22" s="49"/>
      <c r="S22" s="49"/>
      <c r="T22" s="58"/>
      <c r="V22" s="99"/>
      <c r="W22" s="92"/>
    </row>
    <row r="23" spans="1:23" s="106" customFormat="1" ht="18" customHeight="1" x14ac:dyDescent="0.2">
      <c r="A23" s="100"/>
      <c r="B23" s="101"/>
      <c r="C23" s="100"/>
      <c r="D23" s="102">
        <f>(((C23-B23)*14.979*A23))/1000</f>
        <v>0</v>
      </c>
      <c r="E23" s="103">
        <f>(D23*0.625)+A23</f>
        <v>0</v>
      </c>
      <c r="F23" s="104" t="s">
        <v>57</v>
      </c>
      <c r="G23" s="105"/>
      <c r="H23" s="105"/>
      <c r="I23" s="33"/>
      <c r="J23" s="33"/>
      <c r="K23" s="29"/>
      <c r="N23" s="107"/>
      <c r="Q23" s="108"/>
      <c r="R23" s="107"/>
      <c r="S23" s="107"/>
      <c r="T23" s="109"/>
      <c r="V23" s="49"/>
      <c r="W23" s="92"/>
    </row>
    <row r="24" spans="1:23" ht="18" customHeight="1" thickBot="1" x14ac:dyDescent="0.25">
      <c r="A24" s="110"/>
      <c r="B24" s="110"/>
      <c r="C24" s="110"/>
      <c r="D24" s="103" t="str">
        <f>IF(A24="","",((C24-B24)*A24/(100-C24)))</f>
        <v/>
      </c>
      <c r="E24" s="111"/>
      <c r="F24" s="104" t="s">
        <v>58</v>
      </c>
      <c r="G24" s="112"/>
      <c r="H24" s="112"/>
      <c r="I24" s="113"/>
      <c r="J24" s="114"/>
      <c r="K24" s="115"/>
      <c r="M24" s="49"/>
      <c r="Q24" s="57"/>
      <c r="R24" s="49"/>
      <c r="S24" s="58"/>
    </row>
    <row r="25" spans="1:23" ht="33" customHeight="1" thickTop="1" x14ac:dyDescent="0.2">
      <c r="A25" s="116" t="s">
        <v>59</v>
      </c>
      <c r="B25" s="116" t="s">
        <v>60</v>
      </c>
      <c r="C25" s="116" t="s">
        <v>61</v>
      </c>
      <c r="D25" s="117" t="s">
        <v>62</v>
      </c>
      <c r="E25" s="118"/>
      <c r="F25" s="119" t="s">
        <v>63</v>
      </c>
      <c r="G25" s="120" t="str">
        <f>IF(G23="","",SUM(G23:G24))</f>
        <v/>
      </c>
      <c r="H25" s="120" t="str">
        <f>IF(H23="","",(G23*H23+G24*H24)/G25)</f>
        <v/>
      </c>
      <c r="I25" s="121" t="str">
        <f>IF(I23="","",(G23*I23+G24*I24)/G25)</f>
        <v/>
      </c>
      <c r="J25" s="121" t="str">
        <f>IF(J23="","",(G23*J23+G24*J24)/G25)</f>
        <v/>
      </c>
      <c r="K25" s="122" t="str">
        <f>IF(K23="","",(G23*K23+G24*K24)/G25)</f>
        <v/>
      </c>
      <c r="P25" s="49"/>
      <c r="Q25" s="57"/>
      <c r="R25" s="58"/>
    </row>
    <row r="26" spans="1:23" ht="38.25" customHeight="1" x14ac:dyDescent="0.25">
      <c r="A26" s="90" t="s">
        <v>64</v>
      </c>
      <c r="B26" s="90"/>
      <c r="C26" s="90"/>
      <c r="D26" s="90"/>
      <c r="E26" s="123" t="s">
        <v>65</v>
      </c>
      <c r="G26" s="124" t="s">
        <v>66</v>
      </c>
      <c r="H26" s="124"/>
      <c r="I26" s="124"/>
      <c r="J26" s="124"/>
      <c r="K26" s="124"/>
      <c r="Q26" s="57"/>
      <c r="R26" s="49"/>
      <c r="S26" s="58"/>
    </row>
    <row r="27" spans="1:23" ht="22.5" customHeight="1" x14ac:dyDescent="0.2">
      <c r="A27" s="125" t="s">
        <v>67</v>
      </c>
      <c r="B27" s="126">
        <v>22.7</v>
      </c>
      <c r="C27" s="127" t="s">
        <v>68</v>
      </c>
      <c r="D27" s="126">
        <v>24.8</v>
      </c>
      <c r="E27" s="128"/>
      <c r="F27" s="129"/>
      <c r="G27" s="130" t="s">
        <v>69</v>
      </c>
      <c r="H27" s="130" t="s">
        <v>70</v>
      </c>
      <c r="I27" s="130" t="s">
        <v>71</v>
      </c>
      <c r="J27" s="130" t="s">
        <v>72</v>
      </c>
      <c r="K27" s="131" t="s">
        <v>73</v>
      </c>
      <c r="N27" s="49"/>
      <c r="R27" s="49"/>
      <c r="S27" s="49"/>
    </row>
    <row r="28" spans="1:23" ht="21.95" customHeight="1" x14ac:dyDescent="0.2">
      <c r="A28" s="132" t="s">
        <v>74</v>
      </c>
      <c r="B28" s="133" t="s">
        <v>75</v>
      </c>
      <c r="C28" s="134" t="s">
        <v>76</v>
      </c>
      <c r="D28" s="135" t="s">
        <v>77</v>
      </c>
      <c r="E28" s="136"/>
      <c r="F28" s="137"/>
      <c r="G28" s="138"/>
      <c r="H28" s="138"/>
      <c r="I28" s="138"/>
      <c r="J28" s="138"/>
      <c r="K28" s="139"/>
      <c r="N28" s="49"/>
      <c r="R28" s="49"/>
      <c r="S28" s="49"/>
    </row>
    <row r="29" spans="1:23" ht="18" customHeight="1" thickBot="1" x14ac:dyDescent="0.25">
      <c r="A29" s="140"/>
      <c r="B29" s="141"/>
      <c r="C29" s="142"/>
      <c r="D29" s="143"/>
      <c r="F29" s="144" t="s">
        <v>78</v>
      </c>
      <c r="G29" s="29">
        <v>75</v>
      </c>
      <c r="H29" s="29">
        <v>10</v>
      </c>
      <c r="I29" s="29">
        <v>0</v>
      </c>
      <c r="J29" s="29">
        <v>15</v>
      </c>
      <c r="K29" s="145">
        <f>SUM(G29:J29)</f>
        <v>100</v>
      </c>
    </row>
    <row r="30" spans="1:23" ht="20.100000000000001" customHeight="1" thickTop="1" thickBot="1" x14ac:dyDescent="0.25">
      <c r="A30" s="146">
        <v>15</v>
      </c>
      <c r="B30" s="147">
        <v>50</v>
      </c>
      <c r="C30" s="148">
        <f>(B27*7.5)*INDEX(Yeast_Table,$A$30,3)</f>
        <v>170.25</v>
      </c>
      <c r="D30" s="149">
        <f>C30-B30</f>
        <v>120.25</v>
      </c>
      <c r="E30" s="150"/>
      <c r="F30" s="151" t="s">
        <v>79</v>
      </c>
      <c r="G30" s="152">
        <f>IF($D$35="","",$D$35*G29/100)</f>
        <v>5.58</v>
      </c>
      <c r="H30" s="152">
        <f>IF($D$35="","",($D$35*H29/100))</f>
        <v>0.74399999999999988</v>
      </c>
      <c r="I30" s="152">
        <f>IF($D$35="","",$D$35*I29/100)</f>
        <v>0</v>
      </c>
      <c r="J30" s="152">
        <f>IF($D$35="","",$D$35*J29/100)</f>
        <v>1.1159999999999999</v>
      </c>
      <c r="K30" s="153">
        <f>SUM(G30:J30)</f>
        <v>7.4399999999999995</v>
      </c>
    </row>
    <row r="31" spans="1:23" ht="20.25" customHeight="1" thickTop="1" x14ac:dyDescent="0.2">
      <c r="A31" s="154" t="s">
        <v>80</v>
      </c>
      <c r="B31" s="155" t="s">
        <v>81</v>
      </c>
      <c r="C31" s="156" t="s">
        <v>82</v>
      </c>
      <c r="D31" s="157" t="s">
        <v>83</v>
      </c>
      <c r="E31" s="150"/>
      <c r="F31" s="151" t="s">
        <v>84</v>
      </c>
      <c r="G31" s="158">
        <f>IF($D$36="","",$D$36*G29/100)</f>
        <v>9.3000000000000007</v>
      </c>
      <c r="H31" s="158">
        <f>IF($D$36="","",$D$36*H29/100)</f>
        <v>1.24</v>
      </c>
      <c r="I31" s="158">
        <f>IF($D$36="","",$D$36*I29/100)</f>
        <v>0</v>
      </c>
      <c r="J31" s="159">
        <f>IF($D$36="","",$D$36*J29/100)</f>
        <v>1.86</v>
      </c>
      <c r="K31" s="160">
        <f>SUM(G31:J31)</f>
        <v>12.4</v>
      </c>
    </row>
    <row r="32" spans="1:23" ht="21" customHeight="1" thickBot="1" x14ac:dyDescent="0.25">
      <c r="A32" s="154"/>
      <c r="B32" s="161"/>
      <c r="C32" s="162"/>
      <c r="D32" s="163"/>
      <c r="E32" s="150"/>
      <c r="F32" s="151" t="s">
        <v>85</v>
      </c>
      <c r="G32" s="164">
        <f>IF($D$37="","",D37*G29/100)</f>
        <v>0</v>
      </c>
      <c r="H32" s="164">
        <f>IF($D$37="","",D37*H29/100)</f>
        <v>0</v>
      </c>
      <c r="I32" s="164">
        <f>IF($D$37="","",D37*I29/100)</f>
        <v>0</v>
      </c>
      <c r="J32" s="164">
        <f>IF($D$37="","",D37*J29/100)</f>
        <v>0</v>
      </c>
      <c r="K32" s="165">
        <f>SUM(G32:J32)</f>
        <v>0</v>
      </c>
    </row>
    <row r="33" spans="1:24" ht="18" customHeight="1" thickTop="1" x14ac:dyDescent="0.2">
      <c r="A33" s="166" t="s">
        <v>86</v>
      </c>
      <c r="B33" s="167">
        <f>IF(B27&lt;=22,0.25,(0.0165*B27)-0.114)</f>
        <v>0.26055</v>
      </c>
      <c r="C33" s="168" t="s">
        <v>87</v>
      </c>
      <c r="D33" s="169">
        <f>IF(B33="","",B33*$D$27)</f>
        <v>6.4616400000000001</v>
      </c>
      <c r="E33" s="170" t="s">
        <v>88</v>
      </c>
      <c r="F33" s="170"/>
      <c r="G33" s="171">
        <f>B30+C34+(SUM(C35:C37)*G29/100)</f>
        <v>142.270625</v>
      </c>
      <c r="H33" s="171">
        <f>G33+SUM(C35:C37)*(H29/100)</f>
        <v>153.270625</v>
      </c>
      <c r="I33" s="171">
        <f>H33+SUM(C35:C37)*(I29/100)</f>
        <v>153.270625</v>
      </c>
      <c r="J33" s="171">
        <f>I33+SUM(C35:C37)*(J29/100)</f>
        <v>169.770625</v>
      </c>
      <c r="K33" s="172">
        <f>J33</f>
        <v>169.770625</v>
      </c>
      <c r="V33" s="99"/>
      <c r="W33" s="49"/>
    </row>
    <row r="34" spans="1:24" ht="18" customHeight="1" x14ac:dyDescent="0.25">
      <c r="A34" s="173" t="s">
        <v>89</v>
      </c>
      <c r="B34" s="169">
        <f>B33*1.25</f>
        <v>0.32568750000000002</v>
      </c>
      <c r="C34" s="174">
        <f>IF(B34="","",B34*30)</f>
        <v>9.7706250000000008</v>
      </c>
      <c r="D34" s="145">
        <f>IF(B34="","",B34*$D$27)</f>
        <v>8.0770499999999998</v>
      </c>
      <c r="F34" s="175"/>
      <c r="H34" s="176" t="s">
        <v>90</v>
      </c>
      <c r="I34" s="176"/>
      <c r="J34" s="176"/>
      <c r="K34" s="177"/>
      <c r="V34" s="99"/>
      <c r="W34" s="49"/>
    </row>
    <row r="35" spans="1:24" ht="18" customHeight="1" x14ac:dyDescent="0.2">
      <c r="A35" s="178" t="s">
        <v>91</v>
      </c>
      <c r="B35" s="38">
        <v>0.3</v>
      </c>
      <c r="C35" s="174">
        <f>IF(B35="","",B35*100)</f>
        <v>30</v>
      </c>
      <c r="D35" s="145">
        <f>IF(B35="","",B35*$D$27)</f>
        <v>7.4399999999999995</v>
      </c>
      <c r="F35" s="49"/>
      <c r="G35" s="179" t="s">
        <v>92</v>
      </c>
      <c r="H35" s="180">
        <v>40</v>
      </c>
      <c r="I35" s="180">
        <v>60</v>
      </c>
      <c r="J35" s="37">
        <v>0</v>
      </c>
      <c r="K35" s="145">
        <f>SUM(H35:J35)</f>
        <v>100</v>
      </c>
      <c r="V35" s="49"/>
      <c r="W35" s="49"/>
    </row>
    <row r="36" spans="1:24" ht="18" customHeight="1" thickBot="1" x14ac:dyDescent="0.25">
      <c r="A36" s="178" t="s">
        <v>93</v>
      </c>
      <c r="B36" s="38">
        <v>0.5</v>
      </c>
      <c r="C36" s="174">
        <f>IF(B36="","",B36*160)</f>
        <v>80</v>
      </c>
      <c r="D36" s="145">
        <f>IF(B36="","",B36*$D$27)</f>
        <v>12.4</v>
      </c>
      <c r="G36" s="181" t="s">
        <v>94</v>
      </c>
      <c r="H36" s="164">
        <f>IF($D$39="","",$D$39*H35/100)</f>
        <v>0</v>
      </c>
      <c r="I36" s="164">
        <f>IF($D$39="","",$D$39*I35/100)</f>
        <v>0</v>
      </c>
      <c r="J36" s="164">
        <f>IF($D$39="","",$D$39*J35/100)</f>
        <v>0</v>
      </c>
      <c r="K36" s="182">
        <f>SUM(H36:J36)</f>
        <v>0</v>
      </c>
      <c r="V36" s="99"/>
      <c r="W36" s="92"/>
    </row>
    <row r="37" spans="1:24" ht="18" customHeight="1" thickTop="1" x14ac:dyDescent="0.2">
      <c r="A37" s="178" t="s">
        <v>95</v>
      </c>
      <c r="B37" s="38">
        <v>0</v>
      </c>
      <c r="C37" s="174">
        <f>IF(B37="","",B37*96)</f>
        <v>0</v>
      </c>
      <c r="D37" s="145">
        <f>IF(B37="","",B37*$D$27)</f>
        <v>0</v>
      </c>
      <c r="F37" s="183" t="s">
        <v>96</v>
      </c>
      <c r="G37" s="184"/>
      <c r="H37" s="171">
        <f>C39*(H35/100)</f>
        <v>0</v>
      </c>
      <c r="I37" s="171">
        <f>H37+(C39*I35/100)</f>
        <v>0</v>
      </c>
      <c r="J37" s="171">
        <f>I37+(C39*J35/100)</f>
        <v>0</v>
      </c>
      <c r="K37" s="185">
        <f>J37</f>
        <v>0</v>
      </c>
      <c r="V37" s="49"/>
      <c r="W37" s="92"/>
    </row>
    <row r="38" spans="1:24" ht="18" customHeight="1" x14ac:dyDescent="0.2">
      <c r="A38" s="186"/>
      <c r="B38" s="187"/>
      <c r="C38" s="188"/>
      <c r="D38" s="189"/>
      <c r="F38" s="190" t="s">
        <v>97</v>
      </c>
      <c r="G38" s="191"/>
      <c r="H38" s="171">
        <f>SUM(H33+H37)</f>
        <v>153.270625</v>
      </c>
      <c r="I38" s="171">
        <f>SUM(I33+I37)</f>
        <v>153.270625</v>
      </c>
      <c r="J38" s="171">
        <f>SUM(J33+J37)</f>
        <v>169.770625</v>
      </c>
      <c r="K38" s="192">
        <f>SUM(K33,K37)</f>
        <v>169.770625</v>
      </c>
      <c r="O38" s="193" t="s">
        <v>98</v>
      </c>
      <c r="S38" s="49"/>
      <c r="T38" s="49"/>
      <c r="V38" s="49"/>
      <c r="W38" s="92"/>
    </row>
    <row r="39" spans="1:24" ht="18" customHeight="1" thickBot="1" x14ac:dyDescent="0.25">
      <c r="A39" s="178" t="s">
        <v>99</v>
      </c>
      <c r="B39" s="33">
        <v>0</v>
      </c>
      <c r="C39" s="194">
        <f>IF(B39="","",B39*212)</f>
        <v>0</v>
      </c>
      <c r="D39" s="195">
        <f>IF(B39="","",B39*$D$27)</f>
        <v>0</v>
      </c>
      <c r="E39" s="196"/>
      <c r="N39" s="197" t="s">
        <v>100</v>
      </c>
      <c r="O39" s="197" t="s">
        <v>101</v>
      </c>
      <c r="P39" s="49"/>
      <c r="Q39" s="198" t="s">
        <v>102</v>
      </c>
      <c r="T39" s="49"/>
      <c r="V39" s="49"/>
      <c r="W39" s="92"/>
    </row>
    <row r="40" spans="1:24" ht="23.25" customHeight="1" thickTop="1" thickBot="1" x14ac:dyDescent="0.3">
      <c r="A40" s="199" t="s">
        <v>103</v>
      </c>
      <c r="B40" s="199"/>
      <c r="C40" s="200">
        <f>SUM(C34:C39)</f>
        <v>119.770625</v>
      </c>
      <c r="D40" s="201"/>
      <c r="E40" s="5"/>
      <c r="I40" s="202" t="s">
        <v>104</v>
      </c>
      <c r="J40" s="202"/>
      <c r="K40" s="202"/>
      <c r="N40" s="203">
        <v>20</v>
      </c>
      <c r="O40" s="203">
        <v>150</v>
      </c>
      <c r="P40" s="49"/>
      <c r="T40" s="49"/>
      <c r="V40" s="99"/>
      <c r="W40" s="92"/>
    </row>
    <row r="41" spans="1:24" ht="18.75" customHeight="1" thickTop="1" x14ac:dyDescent="0.2">
      <c r="A41" s="204" t="s">
        <v>105</v>
      </c>
      <c r="B41" s="204"/>
      <c r="C41" s="204"/>
      <c r="D41" s="204"/>
      <c r="E41" s="205"/>
      <c r="F41" s="206"/>
      <c r="I41" s="207" t="s">
        <v>106</v>
      </c>
      <c r="J41" s="208"/>
      <c r="K41" s="209"/>
      <c r="L41" s="210"/>
      <c r="N41" s="203">
        <v>22</v>
      </c>
      <c r="O41" s="203">
        <v>165</v>
      </c>
      <c r="P41" s="49"/>
      <c r="T41" s="49"/>
      <c r="V41" s="49"/>
      <c r="W41" s="92"/>
    </row>
    <row r="42" spans="1:24" ht="18.75" customHeight="1" x14ac:dyDescent="0.2">
      <c r="A42" s="204"/>
      <c r="B42" s="204"/>
      <c r="C42" s="204"/>
      <c r="D42" s="204"/>
      <c r="F42" s="206"/>
      <c r="I42" s="211" t="s">
        <v>107</v>
      </c>
      <c r="J42" s="212"/>
      <c r="K42" s="213">
        <v>4.42</v>
      </c>
      <c r="N42" s="203">
        <v>24</v>
      </c>
      <c r="O42" s="203">
        <v>180</v>
      </c>
      <c r="P42" s="49"/>
      <c r="T42" s="49"/>
    </row>
    <row r="43" spans="1:24" ht="18.75" customHeight="1" x14ac:dyDescent="0.25">
      <c r="A43" s="214"/>
      <c r="B43" s="215"/>
      <c r="C43" s="215"/>
      <c r="D43" s="21"/>
      <c r="G43" s="216" t="s">
        <v>108</v>
      </c>
      <c r="H43" s="216"/>
      <c r="I43" s="211" t="s">
        <v>109</v>
      </c>
      <c r="J43" s="212"/>
      <c r="K43" s="217">
        <v>12.7</v>
      </c>
      <c r="N43" s="203">
        <v>26</v>
      </c>
      <c r="O43" s="203">
        <v>195</v>
      </c>
      <c r="P43" s="49"/>
      <c r="T43" s="49"/>
      <c r="X43" s="193"/>
    </row>
    <row r="44" spans="1:24" ht="18.75" customHeight="1" x14ac:dyDescent="0.25">
      <c r="A44" s="218"/>
      <c r="B44" s="219" t="s">
        <v>110</v>
      </c>
      <c r="C44" s="219"/>
      <c r="E44" s="220" t="s">
        <v>111</v>
      </c>
      <c r="F44" s="220"/>
      <c r="G44" s="221" t="s">
        <v>112</v>
      </c>
      <c r="H44" s="222" t="s">
        <v>113</v>
      </c>
      <c r="I44" s="211" t="s">
        <v>114</v>
      </c>
      <c r="J44" s="212"/>
      <c r="K44" s="223">
        <v>1.4</v>
      </c>
      <c r="O44" s="224"/>
      <c r="P44" s="49"/>
      <c r="T44" s="49"/>
    </row>
    <row r="45" spans="1:24" ht="18.75" customHeight="1" x14ac:dyDescent="0.2">
      <c r="A45" s="49"/>
      <c r="B45" s="225" t="s">
        <v>115</v>
      </c>
      <c r="C45" s="226">
        <v>3.45</v>
      </c>
      <c r="D45" s="227"/>
      <c r="E45" s="220"/>
      <c r="F45" s="220"/>
      <c r="G45" s="221" t="s">
        <v>116</v>
      </c>
      <c r="H45" s="222" t="s">
        <v>117</v>
      </c>
      <c r="I45" s="211" t="s">
        <v>118</v>
      </c>
      <c r="J45" s="212"/>
      <c r="K45" s="217">
        <v>0</v>
      </c>
      <c r="M45" s="228"/>
      <c r="T45" s="49"/>
    </row>
    <row r="46" spans="1:24" ht="18.75" customHeight="1" thickBot="1" x14ac:dyDescent="0.25">
      <c r="A46" s="49" t="s">
        <v>65</v>
      </c>
      <c r="B46" s="225" t="s">
        <v>119</v>
      </c>
      <c r="C46" s="229">
        <v>12.7</v>
      </c>
      <c r="D46" s="230"/>
      <c r="E46" s="104" t="s">
        <v>120</v>
      </c>
      <c r="F46" s="229">
        <v>22.2</v>
      </c>
      <c r="G46" s="221" t="s">
        <v>121</v>
      </c>
      <c r="H46" s="222" t="s">
        <v>122</v>
      </c>
      <c r="I46" s="231" t="s">
        <v>123</v>
      </c>
      <c r="J46" s="232"/>
      <c r="K46" s="233">
        <f>K42-((K44*(K45/100))*1.12)+(K43/10)</f>
        <v>5.6899999999999995</v>
      </c>
      <c r="M46" s="234" t="s">
        <v>124</v>
      </c>
      <c r="T46" s="49"/>
    </row>
    <row r="47" spans="1:24" ht="18.75" customHeight="1" thickTop="1" x14ac:dyDescent="0.2">
      <c r="A47" s="49"/>
      <c r="B47" s="225" t="s">
        <v>125</v>
      </c>
      <c r="C47" s="226">
        <v>13</v>
      </c>
      <c r="D47" s="230"/>
      <c r="E47" s="104" t="s">
        <v>126</v>
      </c>
      <c r="F47" s="229">
        <v>7.85</v>
      </c>
      <c r="G47" s="235" t="s">
        <v>127</v>
      </c>
      <c r="H47" s="236" t="s">
        <v>128</v>
      </c>
      <c r="I47" s="237" t="s">
        <v>129</v>
      </c>
      <c r="J47" s="238"/>
      <c r="K47" s="239"/>
      <c r="M47" s="240" t="s">
        <v>130</v>
      </c>
      <c r="T47" s="49"/>
    </row>
    <row r="48" spans="1:24" ht="18.75" customHeight="1" x14ac:dyDescent="0.2">
      <c r="A48" s="49"/>
      <c r="B48" s="225" t="s">
        <v>131</v>
      </c>
      <c r="C48" s="226">
        <v>0.8</v>
      </c>
      <c r="D48" s="230"/>
      <c r="E48" s="241" t="s">
        <v>132</v>
      </c>
      <c r="F48" s="242">
        <f>IF(F46&gt;0,-676.67+1286.4*F49-800.47*(F49^2)+190.74*(F49^3),0)</f>
        <v>-1.6252452872151935</v>
      </c>
      <c r="G48" s="221" t="s">
        <v>133</v>
      </c>
      <c r="H48" s="222" t="s">
        <v>134</v>
      </c>
      <c r="I48" s="243" t="s">
        <v>135</v>
      </c>
      <c r="J48" s="244"/>
      <c r="K48" s="245"/>
      <c r="M48" s="240" t="s">
        <v>136</v>
      </c>
      <c r="T48" s="49"/>
    </row>
    <row r="49" spans="1:25" ht="18.75" customHeight="1" thickBot="1" x14ac:dyDescent="0.25">
      <c r="A49" s="49"/>
      <c r="B49" s="225" t="s">
        <v>137</v>
      </c>
      <c r="C49" s="226">
        <v>25</v>
      </c>
      <c r="D49" s="246"/>
      <c r="E49" s="241" t="s">
        <v>138</v>
      </c>
      <c r="F49" s="247">
        <f>IF(F47&gt;0,(1.001843-0.002318474*(F46)-0.000007775*(F46^2)-0.000000034*(F46^3)+0.00574*(F47)+0.00003344*(F47^2)+0.000000086*(F47^3))+(1.313454-0.132674*F47+0.002057793*(F47^2)-0.000002627634*(F47^3))*0.001,0)</f>
        <v>0.99372780668408967</v>
      </c>
      <c r="G49" s="235" t="s">
        <v>139</v>
      </c>
      <c r="H49" s="236" t="s">
        <v>140</v>
      </c>
      <c r="I49" s="248" t="s">
        <v>141</v>
      </c>
      <c r="J49" s="249"/>
      <c r="K49" s="250">
        <f>IF(K48="yes",K46-((K44-(K44*(K45/100)))*0.56),K46)</f>
        <v>5.6899999999999995</v>
      </c>
      <c r="M49" s="240" t="s">
        <v>142</v>
      </c>
      <c r="T49" s="49"/>
    </row>
    <row r="50" spans="1:25" ht="18.75" customHeight="1" thickTop="1" x14ac:dyDescent="0.2">
      <c r="A50" s="251" t="s">
        <v>143</v>
      </c>
      <c r="B50" s="252"/>
      <c r="C50" s="226">
        <v>0</v>
      </c>
      <c r="D50" s="246"/>
      <c r="E50" s="241" t="s">
        <v>144</v>
      </c>
      <c r="F50" s="253">
        <f>IF(F48="","",1017.5596-(277.4*F49)+(1.33302+0.001427193*F47+0.000005791157*F47*F47)*((937.8135*(1.33302+0.001427193*F47+0.000005791157*F47*F47))-1805.1228))*(F49/0.794)</f>
        <v>12.811353611600016</v>
      </c>
      <c r="H50" s="49"/>
      <c r="I50" s="254" t="s">
        <v>145</v>
      </c>
      <c r="J50" s="255"/>
      <c r="K50" s="256">
        <v>2</v>
      </c>
      <c r="X50" t="s">
        <v>65</v>
      </c>
    </row>
    <row r="51" spans="1:25" ht="18.75" customHeight="1" x14ac:dyDescent="0.2">
      <c r="A51" s="251" t="s">
        <v>146</v>
      </c>
      <c r="B51" s="252"/>
      <c r="C51" s="226">
        <v>10</v>
      </c>
      <c r="D51" s="257"/>
      <c r="E51" s="258"/>
      <c r="F51" s="49"/>
      <c r="G51" s="259"/>
      <c r="H51" s="260"/>
      <c r="I51" s="261" t="s">
        <v>147</v>
      </c>
      <c r="J51" s="212"/>
      <c r="K51" s="262">
        <v>23.4</v>
      </c>
    </row>
    <row r="52" spans="1:25" ht="18.75" customHeight="1" x14ac:dyDescent="0.2">
      <c r="A52" s="263" t="s">
        <v>148</v>
      </c>
      <c r="B52" s="264"/>
      <c r="C52" s="242">
        <f>C48*(POWER(10,$C45-(1.81+((C46-10)*0.02)+((C47-20)*0.031))))*(C51/100+1)</f>
        <v>55.909122002953502</v>
      </c>
      <c r="D52" s="230"/>
      <c r="G52" s="265"/>
      <c r="I52" s="266" t="s">
        <v>149</v>
      </c>
      <c r="J52" s="267"/>
      <c r="K52" s="268">
        <f>IF(K50="","",K50*K51)</f>
        <v>46.8</v>
      </c>
      <c r="L52" s="269"/>
      <c r="M52" s="270" t="s">
        <v>150</v>
      </c>
      <c r="N52" s="270"/>
      <c r="O52" s="270"/>
      <c r="P52" s="270"/>
      <c r="Q52" s="270"/>
      <c r="Y52" t="s">
        <v>65</v>
      </c>
    </row>
    <row r="53" spans="1:25" ht="18.75" customHeight="1" thickBot="1" x14ac:dyDescent="0.25">
      <c r="A53" s="263" t="s">
        <v>151</v>
      </c>
      <c r="B53" s="264"/>
      <c r="C53" s="271">
        <f>((C52-C50)*C49)/576</f>
        <v>2.4266111980448568</v>
      </c>
      <c r="I53" s="272" t="s">
        <v>152</v>
      </c>
      <c r="J53" s="273"/>
      <c r="K53" s="274">
        <f>IF(K49=0,K46+K50,K49+K50)</f>
        <v>7.6899999999999995</v>
      </c>
      <c r="M53" s="275" t="s">
        <v>153</v>
      </c>
      <c r="N53" s="275"/>
      <c r="O53" s="275"/>
      <c r="P53" s="276" t="s">
        <v>154</v>
      </c>
      <c r="Q53" s="277"/>
    </row>
    <row r="54" spans="1:25" ht="18.75" customHeight="1" thickTop="1" thickBot="1" x14ac:dyDescent="0.3">
      <c r="A54" s="263" t="s">
        <v>155</v>
      </c>
      <c r="B54" s="264"/>
      <c r="C54" s="271">
        <f>C53/10*100</f>
        <v>24.266111980448567</v>
      </c>
      <c r="E54" s="202" t="s">
        <v>156</v>
      </c>
      <c r="F54" s="202"/>
      <c r="G54" s="202"/>
      <c r="H54" s="202"/>
      <c r="I54" s="278"/>
      <c r="J54" s="278"/>
      <c r="M54" s="279"/>
      <c r="N54" s="279"/>
      <c r="O54" s="279"/>
      <c r="P54" s="280"/>
      <c r="Q54" s="281"/>
    </row>
    <row r="55" spans="1:25" ht="18.75" customHeight="1" thickTop="1" x14ac:dyDescent="0.2">
      <c r="A55" s="282" t="s">
        <v>157</v>
      </c>
      <c r="B55" s="282"/>
      <c r="C55" s="283" t="s">
        <v>158</v>
      </c>
      <c r="D55" s="284" t="s">
        <v>159</v>
      </c>
      <c r="E55" s="284"/>
      <c r="F55" s="285"/>
      <c r="G55" s="286">
        <v>200</v>
      </c>
      <c r="H55" s="287">
        <f>G55/1000</f>
        <v>0.2</v>
      </c>
      <c r="I55" s="1"/>
      <c r="M55" s="288">
        <v>1</v>
      </c>
      <c r="N55" s="289">
        <v>43</v>
      </c>
      <c r="O55" s="290">
        <v>1</v>
      </c>
      <c r="P55" s="291" t="s">
        <v>160</v>
      </c>
      <c r="Q55" s="292"/>
    </row>
    <row r="56" spans="1:25" ht="18.75" customHeight="1" x14ac:dyDescent="0.25">
      <c r="A56" s="282" t="s">
        <v>161</v>
      </c>
      <c r="B56" s="282"/>
      <c r="C56" s="283" t="s">
        <v>162</v>
      </c>
      <c r="D56" s="284" t="s">
        <v>163</v>
      </c>
      <c r="E56" s="284"/>
      <c r="F56" s="285"/>
      <c r="G56" s="286">
        <v>50</v>
      </c>
      <c r="H56" s="293" t="s">
        <v>164</v>
      </c>
      <c r="I56" s="1"/>
      <c r="J56" s="23" t="s">
        <v>165</v>
      </c>
      <c r="K56" s="23"/>
      <c r="M56" s="294">
        <v>2</v>
      </c>
      <c r="N56" s="295">
        <v>3001</v>
      </c>
      <c r="O56" s="296">
        <v>1.2</v>
      </c>
      <c r="P56" s="291" t="s">
        <v>166</v>
      </c>
      <c r="Q56" s="292"/>
      <c r="R56" s="297" t="s">
        <v>167</v>
      </c>
    </row>
    <row r="57" spans="1:25" ht="18.75" customHeight="1" x14ac:dyDescent="0.2">
      <c r="D57" s="284" t="s">
        <v>168</v>
      </c>
      <c r="E57" s="284"/>
      <c r="F57" s="285"/>
      <c r="G57" s="286">
        <v>5</v>
      </c>
      <c r="H57" s="1"/>
      <c r="I57" s="1"/>
      <c r="J57" s="298" t="s">
        <v>169</v>
      </c>
      <c r="K57" s="299" t="s">
        <v>170</v>
      </c>
      <c r="M57" s="300">
        <v>3</v>
      </c>
      <c r="N57" s="295">
        <v>4600</v>
      </c>
      <c r="O57" s="301">
        <v>1</v>
      </c>
      <c r="P57" s="291" t="s">
        <v>160</v>
      </c>
      <c r="Q57" s="292"/>
      <c r="R57" s="297"/>
    </row>
    <row r="58" spans="1:25" ht="18.75" customHeight="1" x14ac:dyDescent="0.2">
      <c r="A58" s="230"/>
      <c r="B58" s="302" t="s">
        <v>171</v>
      </c>
      <c r="C58" s="230"/>
      <c r="D58" s="303" t="s">
        <v>172</v>
      </c>
      <c r="E58" s="303"/>
      <c r="F58" s="304"/>
      <c r="G58" s="305">
        <f>G56*G55*0.0001/G57</f>
        <v>0.2</v>
      </c>
      <c r="H58" s="1"/>
      <c r="I58" s="49"/>
      <c r="J58" s="306"/>
      <c r="K58" s="307"/>
      <c r="M58" s="294">
        <v>4</v>
      </c>
      <c r="N58" s="308" t="s">
        <v>173</v>
      </c>
      <c r="O58" s="296">
        <v>1.2</v>
      </c>
      <c r="P58" s="291" t="s">
        <v>166</v>
      </c>
      <c r="Q58" s="292"/>
      <c r="R58" s="297"/>
    </row>
    <row r="59" spans="1:25" ht="18.75" customHeight="1" x14ac:dyDescent="0.25">
      <c r="A59" s="309" t="s">
        <v>174</v>
      </c>
      <c r="B59" s="310">
        <v>10</v>
      </c>
      <c r="C59" s="311" t="s">
        <v>175</v>
      </c>
      <c r="J59" s="312">
        <v>12.5</v>
      </c>
      <c r="K59" s="313">
        <f>-0.035*J59^2+0.215*J59-2.54</f>
        <v>-5.3212500000000009</v>
      </c>
      <c r="M59" s="300">
        <v>5</v>
      </c>
      <c r="N59" s="308" t="s">
        <v>112</v>
      </c>
      <c r="O59" s="301">
        <v>1</v>
      </c>
      <c r="P59" s="291" t="s">
        <v>160</v>
      </c>
      <c r="Q59" s="292"/>
      <c r="R59" s="1" t="s">
        <v>176</v>
      </c>
      <c r="S59" s="314"/>
    </row>
    <row r="60" spans="1:25" ht="18.75" customHeight="1" x14ac:dyDescent="0.25">
      <c r="A60" s="315">
        <f>(B59-32)*5/9</f>
        <v>-12.222222222222221</v>
      </c>
      <c r="B60" s="316"/>
      <c r="C60" s="317">
        <f>B59*9/5+32</f>
        <v>50</v>
      </c>
      <c r="E60" s="318" t="s">
        <v>177</v>
      </c>
      <c r="F60" s="318"/>
      <c r="M60" s="300">
        <v>6</v>
      </c>
      <c r="N60" s="308" t="s">
        <v>178</v>
      </c>
      <c r="O60" s="301">
        <v>1</v>
      </c>
      <c r="P60" s="291" t="s">
        <v>160</v>
      </c>
      <c r="Q60" s="319">
        <v>1</v>
      </c>
      <c r="R60" s="1" t="s">
        <v>179</v>
      </c>
      <c r="S60" s="314"/>
    </row>
    <row r="61" spans="1:25" ht="18.75" customHeight="1" x14ac:dyDescent="0.25">
      <c r="A61" s="309" t="s">
        <v>180</v>
      </c>
      <c r="B61" s="310">
        <v>1</v>
      </c>
      <c r="C61" s="311" t="s">
        <v>181</v>
      </c>
      <c r="D61" s="320"/>
      <c r="E61" s="321" t="s">
        <v>182</v>
      </c>
      <c r="F61" s="322"/>
      <c r="G61" s="323"/>
      <c r="H61" s="324" t="s">
        <v>183</v>
      </c>
      <c r="I61" s="324"/>
      <c r="J61" s="324"/>
      <c r="K61" s="324"/>
      <c r="L61" s="325"/>
      <c r="M61" s="300">
        <v>7</v>
      </c>
      <c r="N61" s="326" t="s">
        <v>184</v>
      </c>
      <c r="O61" s="296">
        <v>1.67</v>
      </c>
      <c r="P61" s="327" t="s">
        <v>185</v>
      </c>
      <c r="Q61" s="319"/>
      <c r="R61" s="328" t="s">
        <v>186</v>
      </c>
      <c r="S61" s="314"/>
    </row>
    <row r="62" spans="1:25" ht="18.75" customHeight="1" x14ac:dyDescent="0.2">
      <c r="A62" s="329">
        <f>B61*3.785</f>
        <v>3.7850000000000001</v>
      </c>
      <c r="B62" s="316"/>
      <c r="C62" s="330">
        <f>B61/3.785</f>
        <v>0.26420079260237778</v>
      </c>
      <c r="E62" s="331" t="s">
        <v>187</v>
      </c>
      <c r="F62" s="286">
        <v>17</v>
      </c>
      <c r="G62" s="332"/>
      <c r="H62" s="333" t="s">
        <v>188</v>
      </c>
      <c r="I62" s="334" t="s">
        <v>189</v>
      </c>
      <c r="J62" s="335" t="s">
        <v>190</v>
      </c>
      <c r="K62" s="335" t="s">
        <v>191</v>
      </c>
      <c r="L62" s="325"/>
      <c r="M62" s="294">
        <v>8</v>
      </c>
      <c r="N62" s="308" t="s">
        <v>192</v>
      </c>
      <c r="O62" s="296">
        <v>1.2</v>
      </c>
      <c r="P62" s="291" t="s">
        <v>166</v>
      </c>
      <c r="Q62" s="292"/>
      <c r="R62" s="328"/>
      <c r="S62" s="314"/>
    </row>
    <row r="63" spans="1:25" ht="18.75" customHeight="1" x14ac:dyDescent="0.25">
      <c r="A63" s="309" t="s">
        <v>193</v>
      </c>
      <c r="B63" s="336">
        <v>-1.7</v>
      </c>
      <c r="C63" s="311" t="s">
        <v>194</v>
      </c>
      <c r="E63" s="331" t="s">
        <v>195</v>
      </c>
      <c r="F63" s="286">
        <v>-1.5</v>
      </c>
      <c r="G63" s="337" t="s">
        <v>196</v>
      </c>
      <c r="H63" s="338">
        <v>70</v>
      </c>
      <c r="I63" s="339"/>
      <c r="J63" s="340">
        <f>ABS(H65-I64)</f>
        <v>5</v>
      </c>
      <c r="K63" s="341">
        <f>J63/(J63+J65)*K66</f>
        <v>2.0535714285714288</v>
      </c>
      <c r="L63" s="325"/>
      <c r="M63" s="300">
        <v>9</v>
      </c>
      <c r="N63" s="308" t="s">
        <v>197</v>
      </c>
      <c r="O63" s="296">
        <v>1.8</v>
      </c>
      <c r="P63" s="327" t="s">
        <v>185</v>
      </c>
      <c r="Q63" s="319">
        <v>1.8</v>
      </c>
      <c r="R63" s="328"/>
      <c r="S63" s="314"/>
    </row>
    <row r="64" spans="1:25" ht="18" customHeight="1" x14ac:dyDescent="0.2">
      <c r="A64" s="329">
        <f>0.00000005785037196*B63^3+0.00001261831344*B63^2+0.003873042366*B63+0.9999994636</f>
        <v>0.99345147428476421</v>
      </c>
      <c r="B64" s="342"/>
      <c r="C64" s="317">
        <f>182.4601*B63^3-775.6821*B63^2+1262.7794*B63-669.5622</f>
        <v>-5954.4349203000002</v>
      </c>
      <c r="E64" s="343" t="s">
        <v>198</v>
      </c>
      <c r="F64" s="242">
        <f>F63-(1-(0.0014*F62^2-0.0094*F62+0.629))</f>
        <v>-1.6261999999999999</v>
      </c>
      <c r="G64" s="344"/>
      <c r="H64" s="345"/>
      <c r="I64" s="346">
        <v>19</v>
      </c>
      <c r="J64" s="347"/>
      <c r="K64" s="348"/>
      <c r="L64" s="325"/>
      <c r="M64" s="294">
        <v>10</v>
      </c>
      <c r="N64" s="308" t="s">
        <v>199</v>
      </c>
      <c r="O64" s="296">
        <v>1.88</v>
      </c>
      <c r="P64" s="327" t="s">
        <v>185</v>
      </c>
      <c r="Q64" s="349">
        <v>1.875</v>
      </c>
      <c r="R64" s="328"/>
      <c r="S64" s="314"/>
    </row>
    <row r="65" spans="1:24" s="49" customFormat="1" ht="22.5" customHeight="1" thickBot="1" x14ac:dyDescent="0.3">
      <c r="A65" s="309" t="s">
        <v>164</v>
      </c>
      <c r="B65" s="336">
        <v>1.6</v>
      </c>
      <c r="C65" s="311" t="s">
        <v>200</v>
      </c>
      <c r="F65" s="350"/>
      <c r="G65" s="337" t="s">
        <v>201</v>
      </c>
      <c r="H65" s="338">
        <v>14</v>
      </c>
      <c r="I65" s="339"/>
      <c r="J65" s="340">
        <f>ABS(I64-H63)</f>
        <v>51</v>
      </c>
      <c r="K65" s="351">
        <f>J65/(J63+J65)*K66</f>
        <v>20.946428571428569</v>
      </c>
      <c r="L65" s="325"/>
      <c r="M65" s="300">
        <v>11</v>
      </c>
      <c r="N65" s="308" t="s">
        <v>202</v>
      </c>
      <c r="O65" s="296">
        <v>1.2</v>
      </c>
      <c r="P65" s="291" t="s">
        <v>166</v>
      </c>
      <c r="Q65" s="352"/>
      <c r="R65" s="353" t="s">
        <v>203</v>
      </c>
      <c r="S65" s="354"/>
      <c r="T65"/>
      <c r="U65"/>
      <c r="V65"/>
      <c r="W65"/>
      <c r="X65"/>
    </row>
    <row r="66" spans="1:24" s="49" customFormat="1" ht="18.75" customHeight="1" thickTop="1" x14ac:dyDescent="0.2">
      <c r="A66" s="329">
        <f>B65*0.12</f>
        <v>0.192</v>
      </c>
      <c r="B66" s="342"/>
      <c r="C66" s="355">
        <f>B65*8.333</f>
        <v>13.332800000000001</v>
      </c>
      <c r="D66"/>
      <c r="E66" s="356"/>
      <c r="G66" s="356"/>
      <c r="H66" s="357"/>
      <c r="I66" s="345"/>
      <c r="J66" s="358" t="s">
        <v>204</v>
      </c>
      <c r="K66" s="359">
        <v>23</v>
      </c>
      <c r="L66" s="360"/>
      <c r="M66" s="294">
        <v>12</v>
      </c>
      <c r="N66" s="308" t="s">
        <v>205</v>
      </c>
      <c r="O66" s="296">
        <v>1.67</v>
      </c>
      <c r="P66" s="327" t="s">
        <v>185</v>
      </c>
      <c r="Q66" s="352"/>
      <c r="R66" s="361" t="s">
        <v>206</v>
      </c>
      <c r="S66" s="362"/>
      <c r="T66"/>
      <c r="U66"/>
      <c r="V66"/>
      <c r="W66"/>
      <c r="X66"/>
    </row>
    <row r="67" spans="1:24" s="49" customFormat="1" ht="25.5" customHeight="1" thickBot="1" x14ac:dyDescent="0.35">
      <c r="B67" s="363"/>
      <c r="C67" s="364"/>
      <c r="D67"/>
      <c r="E67" s="365" t="s">
        <v>207</v>
      </c>
      <c r="F67" s="366"/>
      <c r="G67" s="357"/>
      <c r="H67" s="345"/>
      <c r="I67" s="367"/>
      <c r="J67" s="368"/>
      <c r="K67" s="369"/>
      <c r="L67" s="360"/>
      <c r="M67" s="300">
        <v>13</v>
      </c>
      <c r="N67" s="308" t="s">
        <v>208</v>
      </c>
      <c r="O67" s="296">
        <v>1.2</v>
      </c>
      <c r="P67" s="291" t="s">
        <v>166</v>
      </c>
      <c r="Q67" s="352"/>
      <c r="R67" s="361" t="s">
        <v>209</v>
      </c>
      <c r="S67" s="354"/>
      <c r="T67"/>
      <c r="U67"/>
      <c r="V67"/>
      <c r="W67"/>
      <c r="X67"/>
    </row>
    <row r="68" spans="1:24" s="49" customFormat="1" ht="48" customHeight="1" thickTop="1" x14ac:dyDescent="0.25">
      <c r="A68" s="370" t="s">
        <v>210</v>
      </c>
      <c r="B68" s="371" t="s">
        <v>211</v>
      </c>
      <c r="C68" s="372" t="s">
        <v>212</v>
      </c>
      <c r="D68" s="373" t="s">
        <v>213</v>
      </c>
      <c r="E68" s="374" t="s">
        <v>214</v>
      </c>
      <c r="F68" s="375"/>
      <c r="G68" s="376" t="s">
        <v>210</v>
      </c>
      <c r="H68" s="377" t="s">
        <v>215</v>
      </c>
      <c r="I68" s="378"/>
      <c r="J68" s="379" t="s">
        <v>212</v>
      </c>
      <c r="K68" s="380" t="s">
        <v>213</v>
      </c>
      <c r="L68" s="360"/>
      <c r="M68" s="294">
        <v>14</v>
      </c>
      <c r="N68" s="308" t="s">
        <v>216</v>
      </c>
      <c r="O68" s="296">
        <v>1.2</v>
      </c>
      <c r="P68" s="291" t="s">
        <v>166</v>
      </c>
      <c r="Q68" s="352"/>
      <c r="R68" s="107" t="s">
        <v>217</v>
      </c>
      <c r="S68" s="354"/>
      <c r="T68"/>
      <c r="U68"/>
      <c r="X68"/>
    </row>
    <row r="69" spans="1:24" s="49" customFormat="1" ht="18.75" customHeight="1" x14ac:dyDescent="0.2">
      <c r="A69" s="381" t="s">
        <v>218</v>
      </c>
      <c r="B69" s="382" t="s">
        <v>219</v>
      </c>
      <c r="C69" s="383">
        <v>1.4999999999999999E-2</v>
      </c>
      <c r="D69" s="384">
        <f>E72*C69</f>
        <v>2.5049999999999999</v>
      </c>
      <c r="E69" s="385" t="s">
        <v>220</v>
      </c>
      <c r="F69" s="386"/>
      <c r="G69" s="387"/>
      <c r="H69" s="388" t="s">
        <v>221</v>
      </c>
      <c r="I69" s="389" t="s">
        <v>222</v>
      </c>
      <c r="J69" s="70"/>
      <c r="K69" s="390"/>
      <c r="L69" s="360"/>
      <c r="M69" s="300">
        <v>15</v>
      </c>
      <c r="N69" s="308" t="s">
        <v>223</v>
      </c>
      <c r="O69" s="296">
        <v>1</v>
      </c>
      <c r="P69" s="291" t="s">
        <v>160</v>
      </c>
      <c r="Q69" s="352"/>
      <c r="R69" s="391"/>
      <c r="S69" s="392"/>
      <c r="T69"/>
      <c r="U69"/>
      <c r="X69"/>
    </row>
    <row r="70" spans="1:24" s="49" customFormat="1" ht="18.75" customHeight="1" thickBot="1" x14ac:dyDescent="0.25">
      <c r="A70" s="393" t="s">
        <v>224</v>
      </c>
      <c r="B70" s="394" t="s">
        <v>225</v>
      </c>
      <c r="C70" s="395">
        <v>7.4999999999999997E-3</v>
      </c>
      <c r="D70" s="384">
        <f>E72*C70</f>
        <v>1.2524999999999999</v>
      </c>
      <c r="E70" s="396">
        <v>24.8</v>
      </c>
      <c r="F70" s="397"/>
      <c r="G70" s="398" t="s">
        <v>226</v>
      </c>
      <c r="H70" s="382" t="s">
        <v>227</v>
      </c>
      <c r="I70" s="394" t="s">
        <v>228</v>
      </c>
      <c r="J70" s="383">
        <v>0.03</v>
      </c>
      <c r="K70" s="399">
        <f>E72*J70</f>
        <v>5.01</v>
      </c>
      <c r="L70" s="325"/>
      <c r="M70" s="294">
        <v>16</v>
      </c>
      <c r="N70" s="308" t="s">
        <v>229</v>
      </c>
      <c r="O70" s="296">
        <v>1.67</v>
      </c>
      <c r="P70" s="327" t="s">
        <v>185</v>
      </c>
      <c r="Q70" s="352"/>
      <c r="R70" s="400"/>
      <c r="S70" s="362"/>
      <c r="T70"/>
      <c r="U70"/>
      <c r="X70"/>
    </row>
    <row r="71" spans="1:24" s="49" customFormat="1" ht="18.75" customHeight="1" x14ac:dyDescent="0.2">
      <c r="A71" s="393" t="s">
        <v>230</v>
      </c>
      <c r="B71" s="394" t="s">
        <v>231</v>
      </c>
      <c r="C71" s="395">
        <v>1.1299999999999999E-2</v>
      </c>
      <c r="D71" s="384">
        <f>E72*C71</f>
        <v>1.8870999999999998</v>
      </c>
      <c r="E71" s="401" t="s">
        <v>232</v>
      </c>
      <c r="F71" s="402"/>
      <c r="G71" s="398" t="s">
        <v>233</v>
      </c>
      <c r="H71" s="394" t="s">
        <v>234</v>
      </c>
      <c r="I71" s="394" t="s">
        <v>235</v>
      </c>
      <c r="J71" s="403">
        <v>0.05</v>
      </c>
      <c r="K71" s="404">
        <f>E70*J71</f>
        <v>1.2400000000000002</v>
      </c>
      <c r="L71" s="405"/>
      <c r="M71" s="300">
        <v>17</v>
      </c>
      <c r="N71" s="326" t="s">
        <v>236</v>
      </c>
      <c r="O71" s="296">
        <v>1</v>
      </c>
      <c r="P71" s="291" t="s">
        <v>160</v>
      </c>
      <c r="Q71" s="352"/>
      <c r="R71" s="406"/>
      <c r="S71" s="392"/>
      <c r="U71" s="407"/>
      <c r="W71" s="407"/>
    </row>
    <row r="72" spans="1:24" s="49" customFormat="1" ht="18.75" customHeight="1" thickBot="1" x14ac:dyDescent="0.25">
      <c r="A72" s="393" t="s">
        <v>237</v>
      </c>
      <c r="B72" s="408" t="s">
        <v>238</v>
      </c>
      <c r="C72" s="409">
        <v>0.05</v>
      </c>
      <c r="D72" s="384">
        <f>E72*C72</f>
        <v>8.35</v>
      </c>
      <c r="E72" s="410">
        <v>167</v>
      </c>
      <c r="F72" s="411"/>
      <c r="G72" s="412" t="s">
        <v>239</v>
      </c>
      <c r="H72" s="382"/>
      <c r="I72" s="382" t="s">
        <v>240</v>
      </c>
      <c r="J72" s="413">
        <v>0.4</v>
      </c>
      <c r="K72" s="404">
        <f>E70*J72</f>
        <v>9.9200000000000017</v>
      </c>
      <c r="L72" s="360"/>
      <c r="M72" s="294">
        <v>18</v>
      </c>
      <c r="N72" s="308" t="s">
        <v>241</v>
      </c>
      <c r="O72" s="296">
        <v>1.2</v>
      </c>
      <c r="P72" s="291" t="s">
        <v>160</v>
      </c>
      <c r="Q72" s="414">
        <v>1.2</v>
      </c>
      <c r="R72" s="406"/>
      <c r="S72" s="392"/>
      <c r="W72" s="407"/>
    </row>
    <row r="73" spans="1:24" s="49" customFormat="1" ht="18.75" customHeight="1" thickTop="1" x14ac:dyDescent="0.2">
      <c r="A73" s="393" t="s">
        <v>242</v>
      </c>
      <c r="B73" s="394" t="s">
        <v>243</v>
      </c>
      <c r="C73" s="415">
        <v>1.2999999999999999E-2</v>
      </c>
      <c r="D73" s="416">
        <f>E72*C73</f>
        <v>2.1709999999999998</v>
      </c>
      <c r="E73" s="417"/>
      <c r="F73"/>
      <c r="G73" s="418" t="s">
        <v>244</v>
      </c>
      <c r="H73" s="419" t="s">
        <v>245</v>
      </c>
      <c r="I73" s="420" t="s">
        <v>246</v>
      </c>
      <c r="J73" s="409">
        <v>0.1</v>
      </c>
      <c r="K73" s="404">
        <f>E70*J73</f>
        <v>2.4800000000000004</v>
      </c>
      <c r="L73" s="405"/>
      <c r="M73" s="300">
        <v>19</v>
      </c>
      <c r="N73" s="421" t="s">
        <v>247</v>
      </c>
      <c r="O73" s="296">
        <v>1.2</v>
      </c>
      <c r="P73" s="422" t="s">
        <v>166</v>
      </c>
      <c r="Q73" s="414"/>
      <c r="R73" s="406"/>
      <c r="S73" s="392"/>
      <c r="W73" s="407"/>
    </row>
    <row r="74" spans="1:24" s="49" customFormat="1" ht="18.75" customHeight="1" x14ac:dyDescent="0.2">
      <c r="A74" s="393" t="s">
        <v>248</v>
      </c>
      <c r="B74" s="408" t="s">
        <v>249</v>
      </c>
      <c r="C74" s="415">
        <v>0.02</v>
      </c>
      <c r="D74" s="423">
        <f>E70*C74</f>
        <v>0.49600000000000005</v>
      </c>
      <c r="E74" s="417"/>
      <c r="F74"/>
      <c r="G74" s="424" t="s">
        <v>250</v>
      </c>
      <c r="H74" s="394" t="s">
        <v>251</v>
      </c>
      <c r="I74" s="394" t="s">
        <v>252</v>
      </c>
      <c r="J74" s="409">
        <v>0.1</v>
      </c>
      <c r="K74" s="404">
        <f>E70*J74</f>
        <v>2.4800000000000004</v>
      </c>
      <c r="L74" s="425"/>
      <c r="M74" s="294">
        <v>20</v>
      </c>
      <c r="N74" s="326" t="s">
        <v>253</v>
      </c>
      <c r="O74" s="296">
        <v>1.67</v>
      </c>
      <c r="P74" s="327" t="s">
        <v>185</v>
      </c>
      <c r="Q74" s="426"/>
      <c r="R74" s="392"/>
      <c r="W74" s="407"/>
    </row>
    <row r="75" spans="1:24" s="49" customFormat="1" ht="18.75" customHeight="1" x14ac:dyDescent="0.2">
      <c r="A75" s="393" t="s">
        <v>254</v>
      </c>
      <c r="B75" s="394" t="s">
        <v>255</v>
      </c>
      <c r="C75" s="427">
        <v>0.35</v>
      </c>
      <c r="D75" s="423">
        <f>E70*C75</f>
        <v>8.68</v>
      </c>
      <c r="E75" s="417"/>
      <c r="F75"/>
      <c r="G75" s="428" t="s">
        <v>256</v>
      </c>
      <c r="H75" s="394" t="s">
        <v>257</v>
      </c>
      <c r="I75" s="429"/>
      <c r="J75" s="409">
        <v>0.3</v>
      </c>
      <c r="K75" s="404">
        <f>E70*J75</f>
        <v>7.4399999999999995</v>
      </c>
      <c r="L75" s="1"/>
      <c r="M75" s="300">
        <v>21</v>
      </c>
      <c r="N75" s="308" t="s">
        <v>258</v>
      </c>
      <c r="O75" s="296">
        <v>1.3</v>
      </c>
      <c r="P75" s="291" t="s">
        <v>160</v>
      </c>
      <c r="Q75" s="426"/>
      <c r="R75" s="392"/>
      <c r="W75" s="407"/>
    </row>
    <row r="76" spans="1:24" s="49" customFormat="1" ht="18.75" customHeight="1" x14ac:dyDescent="0.2">
      <c r="A76" s="430" t="s">
        <v>259</v>
      </c>
      <c r="B76" s="431" t="s">
        <v>260</v>
      </c>
      <c r="C76" s="432">
        <v>0.25</v>
      </c>
      <c r="D76" s="423">
        <f>E70*C76</f>
        <v>6.2</v>
      </c>
      <c r="E76" s="417"/>
      <c r="F76"/>
      <c r="G76" s="418" t="s">
        <v>261</v>
      </c>
      <c r="H76" s="394" t="s">
        <v>262</v>
      </c>
      <c r="I76" s="394" t="s">
        <v>263</v>
      </c>
      <c r="J76" s="427">
        <v>0.1</v>
      </c>
      <c r="K76" s="404">
        <f>E70*J76</f>
        <v>2.4800000000000004</v>
      </c>
      <c r="L76" s="1"/>
      <c r="M76" s="294">
        <v>22</v>
      </c>
      <c r="N76" s="308" t="s">
        <v>264</v>
      </c>
      <c r="O76" s="296">
        <v>1.43</v>
      </c>
      <c r="P76" s="291" t="s">
        <v>166</v>
      </c>
      <c r="Q76" s="426"/>
      <c r="R76" s="392"/>
      <c r="W76" s="407"/>
    </row>
    <row r="77" spans="1:24" s="49" customFormat="1" ht="18.75" customHeight="1" x14ac:dyDescent="0.2">
      <c r="A77" s="393" t="s">
        <v>265</v>
      </c>
      <c r="B77" s="394" t="s">
        <v>257</v>
      </c>
      <c r="C77" s="413">
        <v>0.3</v>
      </c>
      <c r="D77" s="423">
        <f>E70*C77</f>
        <v>7.4399999999999995</v>
      </c>
      <c r="E77" s="417" t="s">
        <v>65</v>
      </c>
      <c r="F77"/>
      <c r="G77" s="433" t="s">
        <v>266</v>
      </c>
      <c r="H77" s="434" t="s">
        <v>267</v>
      </c>
      <c r="I77" s="394" t="s">
        <v>268</v>
      </c>
      <c r="J77" s="432">
        <v>0.2</v>
      </c>
      <c r="K77" s="404">
        <f>E70*J77</f>
        <v>4.9600000000000009</v>
      </c>
      <c r="L77" s="1"/>
      <c r="M77" s="300">
        <v>23</v>
      </c>
      <c r="N77" s="326" t="s">
        <v>269</v>
      </c>
      <c r="O77" s="296">
        <v>1.2</v>
      </c>
      <c r="P77" s="291" t="s">
        <v>166</v>
      </c>
      <c r="Q77" s="426"/>
      <c r="R77" s="392"/>
    </row>
    <row r="78" spans="1:24" s="49" customFormat="1" ht="18.75" customHeight="1" x14ac:dyDescent="0.2">
      <c r="A78" s="393" t="s">
        <v>270</v>
      </c>
      <c r="B78" s="408" t="s">
        <v>271</v>
      </c>
      <c r="C78" s="413">
        <v>0.3</v>
      </c>
      <c r="D78" s="423">
        <f>E70*C78</f>
        <v>7.4399999999999995</v>
      </c>
      <c r="E78" s="417"/>
      <c r="F78" s="435"/>
      <c r="G78" s="433" t="s">
        <v>272</v>
      </c>
      <c r="H78" s="394" t="s">
        <v>273</v>
      </c>
      <c r="I78" s="394" t="s">
        <v>273</v>
      </c>
      <c r="J78" s="413">
        <v>1</v>
      </c>
      <c r="K78" s="404">
        <f>E70*J78</f>
        <v>24.8</v>
      </c>
      <c r="L78" s="360"/>
      <c r="M78" s="294">
        <v>24</v>
      </c>
      <c r="N78" s="326" t="s">
        <v>274</v>
      </c>
      <c r="O78" s="296">
        <v>1.2</v>
      </c>
      <c r="P78" s="291" t="s">
        <v>166</v>
      </c>
      <c r="Q78" s="436"/>
      <c r="R78" s="400"/>
    </row>
    <row r="79" spans="1:24" ht="18.75" customHeight="1" x14ac:dyDescent="0.2">
      <c r="A79" s="437" t="s">
        <v>275</v>
      </c>
      <c r="B79" s="438" t="s">
        <v>267</v>
      </c>
      <c r="C79" s="413">
        <v>0.2</v>
      </c>
      <c r="D79" s="423">
        <f>E70*C79</f>
        <v>4.9600000000000009</v>
      </c>
      <c r="E79" s="417"/>
      <c r="G79" s="433" t="s">
        <v>276</v>
      </c>
      <c r="H79" s="394" t="s">
        <v>273</v>
      </c>
      <c r="I79" s="394" t="s">
        <v>273</v>
      </c>
      <c r="J79" s="413">
        <v>1</v>
      </c>
      <c r="K79" s="404">
        <f>E70*J79</f>
        <v>24.8</v>
      </c>
      <c r="L79" s="325"/>
      <c r="M79" s="300">
        <v>25</v>
      </c>
      <c r="N79" s="326" t="s">
        <v>277</v>
      </c>
      <c r="O79" s="296">
        <v>1</v>
      </c>
      <c r="P79" s="291" t="s">
        <v>160</v>
      </c>
      <c r="Q79" s="436"/>
      <c r="R79" s="400"/>
      <c r="S79" s="49"/>
      <c r="T79" s="49"/>
      <c r="U79" s="49"/>
      <c r="V79" s="49"/>
      <c r="W79" s="49"/>
      <c r="X79" s="49"/>
    </row>
    <row r="80" spans="1:24" ht="18.75" customHeight="1" x14ac:dyDescent="0.2">
      <c r="A80" s="393" t="s">
        <v>278</v>
      </c>
      <c r="B80" s="408" t="s">
        <v>267</v>
      </c>
      <c r="C80" s="409">
        <v>0.2</v>
      </c>
      <c r="D80" s="423">
        <f>E70*C80</f>
        <v>4.9600000000000009</v>
      </c>
      <c r="E80" s="417"/>
      <c r="G80" s="439" t="s">
        <v>279</v>
      </c>
      <c r="H80" s="440" t="s">
        <v>280</v>
      </c>
      <c r="I80" s="441"/>
      <c r="J80" s="413">
        <v>0.25</v>
      </c>
      <c r="K80" s="404">
        <f>E70*J80</f>
        <v>6.2</v>
      </c>
      <c r="L80" s="325"/>
      <c r="M80" s="294">
        <v>26</v>
      </c>
      <c r="N80" s="308" t="s">
        <v>281</v>
      </c>
      <c r="O80" s="296">
        <v>1.67</v>
      </c>
      <c r="P80" s="327" t="s">
        <v>185</v>
      </c>
      <c r="Q80" s="436"/>
      <c r="R80" s="400"/>
      <c r="S80" s="49"/>
      <c r="T80" s="49"/>
      <c r="U80" s="49"/>
      <c r="V80" s="49"/>
      <c r="W80" s="49"/>
      <c r="X80" s="49"/>
    </row>
    <row r="81" spans="1:25" ht="18.75" customHeight="1" x14ac:dyDescent="0.2">
      <c r="A81" s="393" t="s">
        <v>282</v>
      </c>
      <c r="B81" s="442" t="s">
        <v>283</v>
      </c>
      <c r="C81" s="443">
        <v>0.15</v>
      </c>
      <c r="D81" s="423">
        <f>E70*C81</f>
        <v>3.7199999999999998</v>
      </c>
      <c r="E81" s="417"/>
      <c r="G81" s="433" t="s">
        <v>284</v>
      </c>
      <c r="H81" s="440" t="s">
        <v>285</v>
      </c>
      <c r="I81" s="441"/>
      <c r="J81" s="409">
        <v>0.8</v>
      </c>
      <c r="K81" s="404">
        <f>E70*J81</f>
        <v>19.840000000000003</v>
      </c>
      <c r="L81" s="405"/>
      <c r="M81" s="300">
        <v>27</v>
      </c>
      <c r="N81" s="308" t="s">
        <v>286</v>
      </c>
      <c r="O81" s="296">
        <v>1.2</v>
      </c>
      <c r="P81" s="291" t="s">
        <v>166</v>
      </c>
      <c r="Q81" s="436"/>
      <c r="R81" s="444"/>
      <c r="S81" s="49"/>
      <c r="T81" s="49"/>
      <c r="U81" s="49"/>
      <c r="V81" s="49"/>
      <c r="W81" s="49"/>
      <c r="X81" s="49"/>
      <c r="Y81" s="269"/>
    </row>
    <row r="82" spans="1:25" ht="18.75" customHeight="1" x14ac:dyDescent="0.2">
      <c r="A82" s="393" t="s">
        <v>287</v>
      </c>
      <c r="B82" s="382" t="s">
        <v>288</v>
      </c>
      <c r="C82" s="443">
        <v>0.15</v>
      </c>
      <c r="D82" s="423">
        <f>E70*C82</f>
        <v>3.7199999999999998</v>
      </c>
      <c r="E82" s="417"/>
      <c r="G82" s="428" t="s">
        <v>289</v>
      </c>
      <c r="H82" s="440" t="s">
        <v>290</v>
      </c>
      <c r="I82" s="441"/>
      <c r="J82" s="443">
        <v>0.5</v>
      </c>
      <c r="K82" s="404">
        <f>E70*J82</f>
        <v>12.4</v>
      </c>
      <c r="L82" s="325"/>
      <c r="M82" s="294">
        <v>28</v>
      </c>
      <c r="N82" s="308" t="s">
        <v>291</v>
      </c>
      <c r="O82" s="296">
        <v>1.63</v>
      </c>
      <c r="P82" s="291" t="s">
        <v>166</v>
      </c>
      <c r="Q82" s="445">
        <v>1.625</v>
      </c>
      <c r="R82" s="444"/>
      <c r="S82" s="49"/>
      <c r="T82" s="49"/>
      <c r="U82" s="49"/>
      <c r="V82" s="49"/>
      <c r="W82" s="49"/>
      <c r="X82" s="49"/>
    </row>
    <row r="83" spans="1:25" ht="18.75" customHeight="1" x14ac:dyDescent="0.2">
      <c r="A83" s="446" t="s">
        <v>292</v>
      </c>
      <c r="B83" s="447" t="s">
        <v>263</v>
      </c>
      <c r="C83" s="448">
        <v>0.1</v>
      </c>
      <c r="D83" s="423">
        <f>E70*C83</f>
        <v>2.4800000000000004</v>
      </c>
      <c r="E83" s="417"/>
      <c r="G83" s="433" t="s">
        <v>293</v>
      </c>
      <c r="H83" s="447" t="s">
        <v>271</v>
      </c>
      <c r="I83" s="382" t="s">
        <v>271</v>
      </c>
      <c r="J83" s="449">
        <v>0.375</v>
      </c>
      <c r="K83" s="404">
        <f>E70*J83</f>
        <v>9.3000000000000007</v>
      </c>
      <c r="L83" s="325"/>
      <c r="M83" s="300">
        <v>29</v>
      </c>
      <c r="N83" s="295" t="s">
        <v>294</v>
      </c>
      <c r="O83" s="296">
        <v>1.2</v>
      </c>
      <c r="P83" s="291" t="s">
        <v>166</v>
      </c>
      <c r="Q83" s="436"/>
      <c r="R83" s="400"/>
      <c r="S83" s="49"/>
      <c r="T83" s="49"/>
      <c r="U83" s="49"/>
      <c r="V83" s="49"/>
      <c r="W83" s="49"/>
      <c r="X83" s="49"/>
    </row>
    <row r="84" spans="1:25" ht="18.75" customHeight="1" x14ac:dyDescent="0.2">
      <c r="A84" s="446" t="s">
        <v>295</v>
      </c>
      <c r="B84" s="394" t="s">
        <v>296</v>
      </c>
      <c r="C84" s="450">
        <v>1.4999999999999999E-2</v>
      </c>
      <c r="D84" s="423">
        <f>E70*C84</f>
        <v>0.372</v>
      </c>
      <c r="E84" s="417"/>
      <c r="G84" s="428" t="s">
        <v>297</v>
      </c>
      <c r="H84" s="440" t="s">
        <v>298</v>
      </c>
      <c r="I84" s="441"/>
      <c r="J84" s="451">
        <v>0.15</v>
      </c>
      <c r="K84" s="404">
        <f>E70*J84</f>
        <v>3.7199999999999998</v>
      </c>
      <c r="L84" s="325"/>
      <c r="M84" s="294">
        <v>30</v>
      </c>
      <c r="N84" s="308" t="s">
        <v>299</v>
      </c>
      <c r="O84" s="296">
        <v>1.2</v>
      </c>
      <c r="P84" s="291" t="s">
        <v>166</v>
      </c>
      <c r="Q84" s="436"/>
      <c r="R84" s="400"/>
      <c r="S84" s="49"/>
      <c r="T84" s="49"/>
      <c r="U84" s="49"/>
      <c r="V84" s="49"/>
      <c r="W84" s="49"/>
      <c r="X84" s="49"/>
    </row>
    <row r="85" spans="1:25" ht="18.75" customHeight="1" x14ac:dyDescent="0.2">
      <c r="A85" s="446" t="s">
        <v>300</v>
      </c>
      <c r="B85" s="447" t="s">
        <v>301</v>
      </c>
      <c r="C85" s="448">
        <v>0.05</v>
      </c>
      <c r="D85" s="423">
        <f>E70*C85</f>
        <v>1.2400000000000002</v>
      </c>
      <c r="E85" s="417"/>
      <c r="G85" s="428" t="s">
        <v>302</v>
      </c>
      <c r="H85" s="440" t="s">
        <v>303</v>
      </c>
      <c r="I85" s="441"/>
      <c r="J85" s="452">
        <v>0.2</v>
      </c>
      <c r="K85" s="404">
        <f>E70*J85</f>
        <v>4.9600000000000009</v>
      </c>
      <c r="L85" s="405"/>
      <c r="M85" s="294">
        <v>31</v>
      </c>
      <c r="N85" s="308" t="s">
        <v>304</v>
      </c>
      <c r="O85" s="296">
        <v>1.2</v>
      </c>
      <c r="P85" s="291" t="s">
        <v>166</v>
      </c>
      <c r="Q85" s="436"/>
      <c r="R85" s="400"/>
      <c r="S85" s="49"/>
      <c r="T85" s="49"/>
      <c r="U85" s="49"/>
      <c r="V85" s="49"/>
      <c r="W85" s="49"/>
      <c r="X85" s="49"/>
    </row>
    <row r="86" spans="1:25" ht="18.75" customHeight="1" x14ac:dyDescent="0.2">
      <c r="A86" s="446" t="s">
        <v>305</v>
      </c>
      <c r="B86" s="447" t="s">
        <v>306</v>
      </c>
      <c r="C86" s="448">
        <v>0.4</v>
      </c>
      <c r="D86" s="453">
        <f>E70*C86</f>
        <v>9.9200000000000017</v>
      </c>
      <c r="E86" s="417"/>
      <c r="G86" s="454" t="s">
        <v>307</v>
      </c>
      <c r="H86" s="455" t="s">
        <v>308</v>
      </c>
      <c r="I86" s="456"/>
      <c r="J86" s="448">
        <v>0.5</v>
      </c>
      <c r="K86" s="404">
        <f>E70*J86</f>
        <v>12.4</v>
      </c>
      <c r="L86" s="405"/>
      <c r="M86" s="294">
        <v>32</v>
      </c>
      <c r="N86" s="308" t="s">
        <v>309</v>
      </c>
      <c r="O86" s="296">
        <v>1.67</v>
      </c>
      <c r="P86" s="327" t="s">
        <v>185</v>
      </c>
      <c r="Q86" s="436"/>
      <c r="R86" s="444"/>
      <c r="S86" s="49"/>
      <c r="T86" s="49"/>
      <c r="U86" s="49"/>
      <c r="V86" s="49"/>
      <c r="W86" s="49"/>
      <c r="X86" s="49"/>
    </row>
    <row r="87" spans="1:25" ht="18.75" customHeight="1" x14ac:dyDescent="0.2">
      <c r="A87" s="393" t="s">
        <v>310</v>
      </c>
      <c r="B87" s="394" t="s">
        <v>311</v>
      </c>
      <c r="C87" s="403">
        <v>0.01</v>
      </c>
      <c r="D87" s="453">
        <f>E70*C87</f>
        <v>0.24800000000000003</v>
      </c>
      <c r="E87" s="417"/>
      <c r="G87" s="457" t="s">
        <v>312</v>
      </c>
      <c r="H87" s="458" t="s">
        <v>313</v>
      </c>
      <c r="I87" s="458" t="s">
        <v>313</v>
      </c>
      <c r="J87" s="459">
        <v>0.04</v>
      </c>
      <c r="K87" s="460">
        <f>E70*J87</f>
        <v>0.9920000000000001</v>
      </c>
      <c r="L87" s="461"/>
      <c r="M87" s="300">
        <v>33</v>
      </c>
      <c r="N87" s="308" t="s">
        <v>314</v>
      </c>
      <c r="O87" s="296">
        <v>2.2000000000000002</v>
      </c>
      <c r="P87" s="327" t="s">
        <v>185</v>
      </c>
      <c r="Q87" s="445">
        <v>2.15</v>
      </c>
      <c r="R87" s="400"/>
      <c r="S87" s="392"/>
      <c r="T87" s="49"/>
      <c r="U87" s="49"/>
      <c r="V87" s="49"/>
      <c r="W87" s="49"/>
    </row>
    <row r="88" spans="1:25" ht="18.75" customHeight="1" x14ac:dyDescent="0.2">
      <c r="A88" s="393" t="s">
        <v>315</v>
      </c>
      <c r="B88" s="394" t="s">
        <v>316</v>
      </c>
      <c r="C88" s="403">
        <v>0.01</v>
      </c>
      <c r="D88" s="462">
        <f>E70*C88</f>
        <v>0.24800000000000003</v>
      </c>
      <c r="E88" s="417"/>
      <c r="G88" s="446" t="s">
        <v>317</v>
      </c>
      <c r="H88" s="463" t="s">
        <v>318</v>
      </c>
      <c r="I88" s="464"/>
      <c r="J88" s="448">
        <v>0.02</v>
      </c>
      <c r="K88" s="465">
        <f>E70*J88</f>
        <v>0.49600000000000005</v>
      </c>
      <c r="L88" s="466"/>
      <c r="M88" s="461"/>
      <c r="N88" s="300"/>
      <c r="O88" s="308"/>
      <c r="P88" s="296"/>
      <c r="Q88" s="327"/>
      <c r="R88" s="445"/>
      <c r="S88" s="400"/>
      <c r="T88" s="392"/>
      <c r="U88" s="49"/>
      <c r="V88" s="49"/>
      <c r="W88" s="49"/>
      <c r="X88" s="49"/>
    </row>
    <row r="89" spans="1:25" ht="18.75" customHeight="1" thickBot="1" x14ac:dyDescent="0.25">
      <c r="A89" s="467" t="s">
        <v>319</v>
      </c>
      <c r="B89" s="468" t="s">
        <v>320</v>
      </c>
      <c r="C89" s="469">
        <v>0.01</v>
      </c>
      <c r="D89" s="470">
        <f>E70*C89</f>
        <v>0.24800000000000003</v>
      </c>
      <c r="E89" s="417"/>
      <c r="G89" s="471" t="s">
        <v>321</v>
      </c>
      <c r="H89" s="472" t="s">
        <v>322</v>
      </c>
      <c r="I89" s="472"/>
      <c r="J89" s="473">
        <v>0.15</v>
      </c>
      <c r="K89" s="474">
        <f>E70*J89</f>
        <v>3.7199999999999998</v>
      </c>
      <c r="L89" s="466"/>
      <c r="M89" s="461"/>
      <c r="N89" s="475"/>
      <c r="O89" s="476"/>
      <c r="P89" s="477"/>
      <c r="Q89" s="327"/>
      <c r="R89" s="478"/>
      <c r="S89" s="400"/>
      <c r="T89" s="392"/>
      <c r="U89" s="49"/>
      <c r="V89" s="49"/>
      <c r="W89" s="49"/>
      <c r="X89" s="49"/>
    </row>
    <row r="90" spans="1:25" ht="18.75" customHeight="1" x14ac:dyDescent="0.2">
      <c r="A90" s="479"/>
      <c r="B90" s="480"/>
      <c r="C90" s="481"/>
      <c r="D90" s="466"/>
      <c r="E90" s="417"/>
      <c r="G90" s="482"/>
      <c r="H90" s="480"/>
      <c r="I90" s="480"/>
      <c r="J90" s="481"/>
      <c r="K90" s="466"/>
      <c r="L90" s="461"/>
      <c r="M90" s="300"/>
      <c r="N90" s="308"/>
      <c r="O90" s="296"/>
      <c r="P90" s="327"/>
      <c r="Q90" s="445"/>
      <c r="R90" s="400"/>
      <c r="S90" s="392"/>
      <c r="T90" s="49"/>
      <c r="U90" s="49"/>
      <c r="V90" s="49"/>
      <c r="W90" s="49"/>
    </row>
    <row r="91" spans="1:25" ht="18.75" customHeight="1" x14ac:dyDescent="0.2">
      <c r="A91" s="483"/>
      <c r="B91" s="483"/>
      <c r="C91" s="483"/>
      <c r="E91" s="368"/>
      <c r="F91" s="484"/>
      <c r="G91" s="484"/>
      <c r="H91" s="485"/>
      <c r="L91" s="461"/>
      <c r="M91" s="294">
        <v>34</v>
      </c>
      <c r="N91" s="308" t="s">
        <v>323</v>
      </c>
      <c r="O91" s="296">
        <v>1.67</v>
      </c>
      <c r="P91" s="327" t="s">
        <v>185</v>
      </c>
      <c r="Q91" s="445"/>
      <c r="R91" s="400"/>
      <c r="S91" s="392"/>
      <c r="T91" s="49"/>
      <c r="U91" s="49"/>
      <c r="V91" s="49"/>
      <c r="W91" s="49"/>
    </row>
    <row r="92" spans="1:25" ht="24.95" customHeight="1" x14ac:dyDescent="0.2">
      <c r="A92" s="486" t="s">
        <v>324</v>
      </c>
      <c r="B92" s="486" t="s">
        <v>325</v>
      </c>
      <c r="C92" s="486" t="s">
        <v>326</v>
      </c>
      <c r="D92" s="486" t="s">
        <v>327</v>
      </c>
      <c r="E92" s="487"/>
      <c r="F92" s="488"/>
      <c r="G92" s="489" t="s">
        <v>328</v>
      </c>
      <c r="H92" s="489"/>
      <c r="I92" s="490" t="str">
        <f>J2</f>
        <v>2023 Viognier</v>
      </c>
      <c r="J92" s="490"/>
      <c r="K92" s="491"/>
      <c r="L92" s="461"/>
      <c r="M92" s="300">
        <v>35</v>
      </c>
      <c r="N92" s="308" t="s">
        <v>329</v>
      </c>
      <c r="O92" s="296">
        <v>1</v>
      </c>
      <c r="P92" s="327" t="s">
        <v>160</v>
      </c>
      <c r="Q92" s="445"/>
      <c r="R92" s="400"/>
      <c r="S92" s="392"/>
      <c r="T92" s="49"/>
      <c r="U92" s="49"/>
      <c r="V92" s="49"/>
      <c r="W92" s="49"/>
    </row>
    <row r="93" spans="1:25" ht="24.95" customHeight="1" x14ac:dyDescent="0.2">
      <c r="A93" s="492">
        <v>44990</v>
      </c>
      <c r="B93" s="493">
        <v>1.7361111111111112E-4</v>
      </c>
      <c r="C93" s="494"/>
      <c r="D93" s="494"/>
      <c r="E93" s="495"/>
      <c r="F93" s="496"/>
      <c r="G93" s="496"/>
      <c r="H93" s="496"/>
      <c r="I93" s="497"/>
      <c r="J93" s="497"/>
      <c r="K93" s="498"/>
      <c r="L93" s="499"/>
      <c r="M93" s="294">
        <v>36</v>
      </c>
      <c r="N93" s="308" t="s">
        <v>330</v>
      </c>
      <c r="O93" s="296">
        <v>1.2</v>
      </c>
      <c r="P93" s="327" t="s">
        <v>166</v>
      </c>
      <c r="Q93" s="445"/>
      <c r="R93" s="400"/>
      <c r="S93" s="392"/>
      <c r="T93" s="49"/>
      <c r="U93" s="49"/>
      <c r="V93" s="49"/>
      <c r="W93" s="49"/>
    </row>
    <row r="94" spans="1:25" ht="24.95" customHeight="1" x14ac:dyDescent="0.2">
      <c r="A94" s="492"/>
      <c r="B94" s="493"/>
      <c r="C94" s="494"/>
      <c r="D94" s="494"/>
      <c r="E94" s="500"/>
      <c r="F94" s="501"/>
      <c r="G94" s="501"/>
      <c r="H94" s="501"/>
      <c r="I94" s="502"/>
      <c r="J94" s="502"/>
      <c r="K94" s="503"/>
      <c r="L94" s="499"/>
      <c r="M94" s="294">
        <v>37</v>
      </c>
      <c r="N94" s="308" t="s">
        <v>331</v>
      </c>
      <c r="O94" s="296">
        <v>1.67</v>
      </c>
      <c r="P94" s="327" t="s">
        <v>185</v>
      </c>
      <c r="Q94" s="445"/>
      <c r="R94" s="400"/>
      <c r="S94" s="392"/>
      <c r="T94" s="49"/>
      <c r="U94" s="49"/>
      <c r="V94" s="49"/>
      <c r="W94" s="49"/>
    </row>
    <row r="95" spans="1:25" ht="24.95" customHeight="1" x14ac:dyDescent="0.2">
      <c r="A95" s="492"/>
      <c r="B95" s="493"/>
      <c r="C95" s="494"/>
      <c r="D95" s="494"/>
      <c r="E95" s="500"/>
      <c r="F95" s="501"/>
      <c r="G95" s="501"/>
      <c r="H95" s="501"/>
      <c r="I95" s="502"/>
      <c r="J95" s="502"/>
      <c r="K95" s="503"/>
      <c r="L95" s="461"/>
      <c r="M95" s="294">
        <v>38</v>
      </c>
      <c r="N95" s="308" t="s">
        <v>332</v>
      </c>
      <c r="O95" s="296">
        <v>1.1000000000000001</v>
      </c>
      <c r="P95" s="327" t="s">
        <v>333</v>
      </c>
      <c r="Q95" s="504" t="s">
        <v>334</v>
      </c>
      <c r="R95" s="406"/>
      <c r="S95" s="392"/>
      <c r="T95" s="49"/>
      <c r="U95" s="49"/>
      <c r="V95" s="49"/>
      <c r="W95" s="49"/>
    </row>
    <row r="96" spans="1:25" ht="24.95" customHeight="1" x14ac:dyDescent="0.2">
      <c r="A96" s="492"/>
      <c r="B96" s="493"/>
      <c r="C96" s="494"/>
      <c r="D96" s="494"/>
      <c r="E96" s="500"/>
      <c r="F96" s="501"/>
      <c r="G96" s="501"/>
      <c r="H96" s="501"/>
      <c r="I96" s="502"/>
      <c r="J96" s="502"/>
      <c r="K96" s="503"/>
      <c r="L96" s="461"/>
      <c r="M96" s="294">
        <v>39</v>
      </c>
      <c r="N96" s="308" t="s">
        <v>335</v>
      </c>
      <c r="O96" s="296">
        <v>1.2</v>
      </c>
      <c r="P96" s="327" t="s">
        <v>336</v>
      </c>
      <c r="Q96" s="505" t="s">
        <v>334</v>
      </c>
      <c r="R96" s="406"/>
      <c r="S96" s="392"/>
      <c r="T96" s="49"/>
      <c r="U96" s="49"/>
      <c r="V96" s="49"/>
      <c r="W96" s="49"/>
    </row>
    <row r="97" spans="1:24" ht="24.95" customHeight="1" x14ac:dyDescent="0.2">
      <c r="A97" s="492"/>
      <c r="B97" s="493"/>
      <c r="C97" s="494"/>
      <c r="D97" s="494"/>
      <c r="E97" s="500"/>
      <c r="F97" s="501"/>
      <c r="G97" s="501"/>
      <c r="H97" s="501"/>
      <c r="I97" s="502"/>
      <c r="J97" s="502"/>
      <c r="K97" s="503"/>
      <c r="L97" s="461"/>
      <c r="M97" s="294">
        <v>40</v>
      </c>
      <c r="N97" s="308" t="s">
        <v>337</v>
      </c>
      <c r="O97" s="296">
        <v>1.67</v>
      </c>
      <c r="P97" s="327" t="s">
        <v>185</v>
      </c>
      <c r="Q97" s="505" t="s">
        <v>334</v>
      </c>
      <c r="R97" s="406"/>
      <c r="S97" s="392"/>
      <c r="T97" s="49"/>
      <c r="U97" s="49"/>
      <c r="V97" s="49"/>
      <c r="W97" s="49"/>
    </row>
    <row r="98" spans="1:24" ht="24.95" customHeight="1" x14ac:dyDescent="0.2">
      <c r="A98" s="492"/>
      <c r="B98" s="493"/>
      <c r="C98" s="494"/>
      <c r="D98" s="494"/>
      <c r="E98" s="500"/>
      <c r="F98" s="501"/>
      <c r="G98" s="501"/>
      <c r="H98" s="501"/>
      <c r="I98" s="502"/>
      <c r="J98" s="502"/>
      <c r="K98" s="503"/>
      <c r="L98" s="461"/>
      <c r="M98" s="294">
        <v>41</v>
      </c>
      <c r="N98" s="308" t="s">
        <v>338</v>
      </c>
      <c r="O98" s="296">
        <v>1.2</v>
      </c>
      <c r="P98" s="327" t="s">
        <v>336</v>
      </c>
      <c r="Q98" s="505" t="s">
        <v>334</v>
      </c>
      <c r="R98" s="406"/>
      <c r="S98" s="392"/>
      <c r="T98" s="49"/>
      <c r="U98" s="49"/>
      <c r="V98" s="49"/>
      <c r="W98" s="49"/>
    </row>
    <row r="99" spans="1:24" ht="24.95" customHeight="1" x14ac:dyDescent="0.2">
      <c r="A99" s="492"/>
      <c r="B99" s="493"/>
      <c r="C99" s="494"/>
      <c r="D99" s="494"/>
      <c r="E99" s="500"/>
      <c r="F99" s="501"/>
      <c r="G99" s="501"/>
      <c r="H99" s="501"/>
      <c r="I99" s="502"/>
      <c r="J99" s="502"/>
      <c r="K99" s="503"/>
      <c r="L99" s="461"/>
      <c r="M99" s="294">
        <v>42</v>
      </c>
      <c r="N99" s="326" t="s">
        <v>339</v>
      </c>
      <c r="O99" s="296">
        <v>1.2</v>
      </c>
      <c r="P99" s="291" t="s">
        <v>336</v>
      </c>
      <c r="Q99" s="505" t="s">
        <v>334</v>
      </c>
      <c r="R99" s="406"/>
      <c r="S99" s="392"/>
      <c r="T99" s="49"/>
      <c r="U99" s="49"/>
      <c r="V99" s="49"/>
      <c r="W99" s="49"/>
    </row>
    <row r="100" spans="1:24" ht="24.95" customHeight="1" x14ac:dyDescent="0.2">
      <c r="A100" s="492"/>
      <c r="B100" s="493"/>
      <c r="C100" s="494"/>
      <c r="D100" s="494"/>
      <c r="E100" s="500"/>
      <c r="F100" s="501"/>
      <c r="G100" s="501"/>
      <c r="H100" s="501"/>
      <c r="I100" s="502"/>
      <c r="J100" s="502"/>
      <c r="K100" s="503"/>
      <c r="L100" s="499"/>
      <c r="M100" s="294">
        <v>43</v>
      </c>
      <c r="N100" s="308" t="s">
        <v>340</v>
      </c>
      <c r="O100" s="296">
        <v>1</v>
      </c>
      <c r="P100" s="327" t="s">
        <v>160</v>
      </c>
      <c r="Q100" s="505" t="s">
        <v>334</v>
      </c>
      <c r="R100" s="406"/>
      <c r="S100" s="392"/>
      <c r="T100" s="49"/>
      <c r="U100" s="49"/>
      <c r="V100" s="49"/>
      <c r="W100" s="49"/>
    </row>
    <row r="101" spans="1:24" ht="24.95" customHeight="1" x14ac:dyDescent="0.2">
      <c r="A101" s="492"/>
      <c r="B101" s="493"/>
      <c r="C101" s="494"/>
      <c r="D101" s="494"/>
      <c r="E101" s="500"/>
      <c r="F101" s="501"/>
      <c r="G101" s="501"/>
      <c r="H101" s="501"/>
      <c r="I101" s="502"/>
      <c r="J101" s="502"/>
      <c r="K101" s="503"/>
      <c r="L101" s="405"/>
      <c r="M101" s="294">
        <v>44</v>
      </c>
      <c r="N101" s="308" t="s">
        <v>341</v>
      </c>
      <c r="O101" s="296">
        <v>1.1000000000000001</v>
      </c>
      <c r="P101" s="327" t="s">
        <v>333</v>
      </c>
      <c r="Q101" s="505" t="s">
        <v>334</v>
      </c>
      <c r="R101" s="406"/>
      <c r="S101" s="392"/>
      <c r="T101" s="49"/>
      <c r="U101" s="49"/>
      <c r="V101" s="49"/>
      <c r="W101" s="49"/>
      <c r="X101" s="49"/>
    </row>
    <row r="102" spans="1:24" ht="24.95" customHeight="1" thickBot="1" x14ac:dyDescent="0.25">
      <c r="A102" s="492"/>
      <c r="B102" s="493"/>
      <c r="C102" s="494"/>
      <c r="D102" s="494"/>
      <c r="E102" s="500"/>
      <c r="F102" s="501"/>
      <c r="G102" s="501"/>
      <c r="H102" s="501"/>
      <c r="I102" s="502"/>
      <c r="J102" s="502"/>
      <c r="K102" s="503"/>
      <c r="L102" s="405"/>
      <c r="M102" s="294">
        <v>45</v>
      </c>
      <c r="N102" s="506" t="s">
        <v>342</v>
      </c>
      <c r="O102" s="507">
        <v>1.2</v>
      </c>
      <c r="P102" s="327" t="s">
        <v>336</v>
      </c>
      <c r="Q102" s="57" t="s">
        <v>334</v>
      </c>
      <c r="R102" s="406"/>
      <c r="S102" s="392"/>
      <c r="T102" s="49"/>
      <c r="U102" s="49"/>
      <c r="V102" s="49"/>
      <c r="W102" s="49"/>
      <c r="X102" s="49"/>
    </row>
    <row r="103" spans="1:24" ht="24.95" customHeight="1" thickTop="1" x14ac:dyDescent="0.2">
      <c r="A103" s="492"/>
      <c r="B103" s="493"/>
      <c r="C103" s="494"/>
      <c r="D103" s="494"/>
      <c r="E103" s="500"/>
      <c r="F103" s="501"/>
      <c r="G103" s="501"/>
      <c r="H103" s="501"/>
      <c r="I103" s="502"/>
      <c r="J103" s="502"/>
      <c r="K103" s="503"/>
      <c r="L103" s="405"/>
      <c r="M103" s="508"/>
      <c r="P103" s="1"/>
      <c r="Q103" s="57"/>
      <c r="R103" s="406"/>
      <c r="S103" s="392"/>
      <c r="T103" s="49"/>
      <c r="U103" s="49"/>
      <c r="V103" s="49"/>
      <c r="W103" s="49"/>
      <c r="X103" s="49"/>
    </row>
    <row r="104" spans="1:24" ht="24.95" customHeight="1" x14ac:dyDescent="0.2">
      <c r="A104" s="492"/>
      <c r="B104" s="493"/>
      <c r="C104" s="494"/>
      <c r="D104" s="494"/>
      <c r="E104" s="500"/>
      <c r="F104" s="501"/>
      <c r="G104" s="501"/>
      <c r="H104" s="501"/>
      <c r="I104" s="502"/>
      <c r="J104" s="502"/>
      <c r="K104" s="503"/>
      <c r="L104" s="405"/>
      <c r="M104" s="509" t="s">
        <v>343</v>
      </c>
      <c r="N104" s="509"/>
      <c r="O104" s="509"/>
      <c r="Q104" s="57"/>
      <c r="R104" s="406"/>
      <c r="S104" s="392"/>
      <c r="T104" s="49"/>
      <c r="U104" s="49"/>
      <c r="V104" s="49"/>
      <c r="W104" s="49"/>
      <c r="X104" s="49"/>
    </row>
    <row r="105" spans="1:24" ht="24.95" customHeight="1" x14ac:dyDescent="0.2">
      <c r="A105" s="492"/>
      <c r="B105" s="493"/>
      <c r="C105" s="494"/>
      <c r="D105" s="494"/>
      <c r="E105" s="500"/>
      <c r="F105" s="501"/>
      <c r="G105" s="501"/>
      <c r="H105" s="501"/>
      <c r="I105" s="502"/>
      <c r="J105" s="502"/>
      <c r="K105" s="503"/>
      <c r="L105" s="405"/>
      <c r="M105" s="510">
        <v>1</v>
      </c>
      <c r="N105" s="511" t="s">
        <v>344</v>
      </c>
      <c r="O105" s="512">
        <v>0.28999999999999998</v>
      </c>
      <c r="Q105" s="513"/>
      <c r="R105" s="400"/>
      <c r="S105" s="514"/>
      <c r="T105" s="49"/>
      <c r="U105" s="49"/>
      <c r="V105" s="49"/>
      <c r="W105" s="49"/>
      <c r="X105" s="49"/>
    </row>
    <row r="106" spans="1:24" ht="24.95" customHeight="1" x14ac:dyDescent="0.2">
      <c r="A106" s="492"/>
      <c r="B106" s="493"/>
      <c r="C106" s="494"/>
      <c r="D106" s="494"/>
      <c r="E106" s="500"/>
      <c r="F106" s="501"/>
      <c r="G106" s="501"/>
      <c r="H106" s="501"/>
      <c r="I106" s="502"/>
      <c r="J106" s="502"/>
      <c r="K106" s="503"/>
      <c r="L106" s="405"/>
      <c r="M106" s="510">
        <v>2</v>
      </c>
      <c r="N106" s="511" t="s">
        <v>345</v>
      </c>
      <c r="O106" s="512">
        <v>0.31</v>
      </c>
      <c r="Q106" s="515"/>
      <c r="R106" s="400"/>
      <c r="S106" s="514"/>
      <c r="T106" s="49"/>
      <c r="U106" s="49"/>
      <c r="V106" s="49"/>
      <c r="W106" s="49"/>
      <c r="X106" s="49"/>
    </row>
    <row r="107" spans="1:24" ht="24.95" customHeight="1" x14ac:dyDescent="0.2">
      <c r="A107" s="492"/>
      <c r="B107" s="493"/>
      <c r="C107" s="494"/>
      <c r="D107" s="494"/>
      <c r="E107" s="500"/>
      <c r="F107" s="501"/>
      <c r="G107" s="501"/>
      <c r="H107" s="501"/>
      <c r="I107" s="502"/>
      <c r="J107" s="502"/>
      <c r="K107" s="503"/>
      <c r="L107" s="405"/>
      <c r="M107" s="510">
        <v>3</v>
      </c>
      <c r="N107" s="511" t="s">
        <v>346</v>
      </c>
      <c r="O107" s="512">
        <v>0.28499999999999998</v>
      </c>
      <c r="Q107" s="515"/>
      <c r="R107" s="400"/>
      <c r="S107" s="514"/>
      <c r="T107" s="49"/>
      <c r="U107" s="49"/>
      <c r="V107" s="49"/>
      <c r="W107" s="49"/>
      <c r="X107" s="49"/>
    </row>
    <row r="108" spans="1:24" ht="24.95" customHeight="1" x14ac:dyDescent="0.2">
      <c r="A108" s="492"/>
      <c r="B108" s="493"/>
      <c r="C108" s="494"/>
      <c r="D108" s="494"/>
      <c r="E108" s="500"/>
      <c r="F108" s="501"/>
      <c r="G108" s="501"/>
      <c r="H108" s="501"/>
      <c r="I108" s="502"/>
      <c r="J108" s="502"/>
      <c r="K108" s="503"/>
      <c r="L108" s="405"/>
      <c r="M108" s="510">
        <v>4</v>
      </c>
      <c r="N108" s="511" t="s">
        <v>347</v>
      </c>
      <c r="O108" s="512">
        <v>0.29799999999999999</v>
      </c>
      <c r="Q108" s="513"/>
      <c r="R108" s="57"/>
      <c r="S108" s="516"/>
      <c r="T108" s="49"/>
      <c r="U108" s="49"/>
      <c r="V108" s="49"/>
      <c r="W108" s="49"/>
      <c r="X108" s="49"/>
    </row>
    <row r="109" spans="1:24" ht="24.95" customHeight="1" x14ac:dyDescent="0.2">
      <c r="A109" s="492"/>
      <c r="B109" s="493"/>
      <c r="C109" s="494"/>
      <c r="D109" s="494"/>
      <c r="E109" s="500"/>
      <c r="F109" s="501"/>
      <c r="G109" s="501"/>
      <c r="H109" s="501"/>
      <c r="I109" s="502"/>
      <c r="J109" s="502"/>
      <c r="K109" s="503"/>
      <c r="L109" s="405"/>
      <c r="M109" s="510">
        <v>5</v>
      </c>
      <c r="N109" s="511" t="s">
        <v>348</v>
      </c>
      <c r="O109" s="512">
        <v>0.28799999999999998</v>
      </c>
      <c r="Q109" s="57"/>
      <c r="R109" s="444"/>
      <c r="S109" s="354"/>
      <c r="T109" s="49"/>
      <c r="U109" s="49"/>
      <c r="V109" s="49"/>
      <c r="W109" s="49"/>
      <c r="X109" s="49"/>
    </row>
    <row r="110" spans="1:24" ht="24.95" customHeight="1" x14ac:dyDescent="0.2">
      <c r="A110" s="492"/>
      <c r="B110" s="493"/>
      <c r="C110" s="494"/>
      <c r="D110" s="494"/>
      <c r="E110" s="500"/>
      <c r="F110" s="501"/>
      <c r="G110" s="501"/>
      <c r="H110" s="501"/>
      <c r="I110" s="502"/>
      <c r="J110" s="502"/>
      <c r="K110" s="503"/>
      <c r="L110" s="405"/>
      <c r="M110" s="510">
        <v>6</v>
      </c>
      <c r="N110" s="511" t="s">
        <v>349</v>
      </c>
      <c r="O110" s="512">
        <v>0.29499999999999998</v>
      </c>
      <c r="R110" s="400"/>
      <c r="S110" s="354"/>
      <c r="T110" s="49"/>
      <c r="U110" s="49"/>
      <c r="V110" s="49"/>
      <c r="W110" s="49"/>
      <c r="X110" s="49"/>
    </row>
    <row r="111" spans="1:24" ht="24.95" customHeight="1" x14ac:dyDescent="0.2">
      <c r="A111" s="492"/>
      <c r="B111" s="493"/>
      <c r="C111" s="494"/>
      <c r="D111" s="494"/>
      <c r="E111" s="500"/>
      <c r="F111" s="501"/>
      <c r="G111" s="501"/>
      <c r="H111" s="501"/>
      <c r="I111" s="502"/>
      <c r="J111" s="502"/>
      <c r="K111" s="503"/>
      <c r="L111" s="405"/>
      <c r="M111" s="510">
        <v>7</v>
      </c>
      <c r="N111" s="517" t="s">
        <v>350</v>
      </c>
      <c r="O111" s="512">
        <v>0.28499999999999998</v>
      </c>
      <c r="R111" s="400"/>
      <c r="S111" s="354"/>
      <c r="T111" s="49"/>
      <c r="U111" s="49"/>
      <c r="V111" s="49"/>
      <c r="W111" s="49"/>
      <c r="X111" s="49"/>
    </row>
    <row r="112" spans="1:24" ht="24.95" customHeight="1" x14ac:dyDescent="0.2">
      <c r="A112" s="492"/>
      <c r="B112" s="493"/>
      <c r="C112" s="494"/>
      <c r="D112" s="494"/>
      <c r="E112" s="500"/>
      <c r="F112" s="501"/>
      <c r="G112" s="501"/>
      <c r="H112" s="501"/>
      <c r="I112" s="502"/>
      <c r="J112" s="502"/>
      <c r="K112" s="503"/>
      <c r="L112" s="405"/>
      <c r="M112" s="510">
        <v>8</v>
      </c>
      <c r="N112" s="511" t="s">
        <v>351</v>
      </c>
      <c r="O112" s="512">
        <v>0.28499999999999998</v>
      </c>
      <c r="R112" s="400"/>
      <c r="S112" s="354"/>
      <c r="T112" s="49"/>
      <c r="U112" s="49"/>
      <c r="V112" s="49"/>
      <c r="W112" s="49"/>
      <c r="X112" s="49"/>
    </row>
    <row r="113" spans="1:24" ht="24.95" customHeight="1" x14ac:dyDescent="0.2">
      <c r="A113" s="492"/>
      <c r="B113" s="493"/>
      <c r="C113" s="494"/>
      <c r="D113" s="494"/>
      <c r="E113" s="500"/>
      <c r="F113" s="501"/>
      <c r="G113" s="501"/>
      <c r="H113" s="501"/>
      <c r="I113" s="502"/>
      <c r="J113" s="502"/>
      <c r="K113" s="503"/>
      <c r="L113" s="325"/>
      <c r="M113" s="510">
        <v>9</v>
      </c>
      <c r="N113" s="511" t="s">
        <v>352</v>
      </c>
      <c r="O113" s="512">
        <v>0.30599999999999999</v>
      </c>
      <c r="R113" s="400"/>
      <c r="S113" s="354"/>
      <c r="T113" s="49"/>
      <c r="U113" s="49"/>
      <c r="V113" s="49"/>
      <c r="W113" s="49"/>
      <c r="X113" s="49"/>
    </row>
    <row r="114" spans="1:24" ht="24.95" customHeight="1" x14ac:dyDescent="0.2">
      <c r="A114" s="492"/>
      <c r="B114" s="493"/>
      <c r="C114" s="494"/>
      <c r="D114" s="494"/>
      <c r="E114" s="500"/>
      <c r="F114" s="501"/>
      <c r="G114" s="501"/>
      <c r="H114" s="501"/>
      <c r="I114" s="502"/>
      <c r="J114" s="502"/>
      <c r="K114" s="503"/>
      <c r="L114" s="325"/>
      <c r="M114" s="510">
        <v>10</v>
      </c>
      <c r="N114" s="511" t="s">
        <v>353</v>
      </c>
      <c r="O114" s="512">
        <v>0.3</v>
      </c>
      <c r="R114" s="400"/>
      <c r="S114" s="354"/>
      <c r="T114" s="49"/>
    </row>
    <row r="115" spans="1:24" ht="24.95" customHeight="1" x14ac:dyDescent="0.2">
      <c r="A115" s="492"/>
      <c r="B115" s="493"/>
      <c r="C115" s="494"/>
      <c r="D115" s="494"/>
      <c r="E115" s="500"/>
      <c r="F115" s="501"/>
      <c r="G115" s="501"/>
      <c r="H115" s="501"/>
      <c r="I115" s="502"/>
      <c r="J115" s="502"/>
      <c r="K115" s="503"/>
      <c r="L115" s="360"/>
      <c r="M115" s="510">
        <v>11</v>
      </c>
      <c r="N115" s="511" t="s">
        <v>354</v>
      </c>
      <c r="O115" s="512">
        <v>0.28999999999999998</v>
      </c>
      <c r="R115" s="444"/>
      <c r="S115" s="354"/>
    </row>
    <row r="116" spans="1:24" ht="24.95" customHeight="1" x14ac:dyDescent="0.2">
      <c r="A116" s="492"/>
      <c r="B116" s="493"/>
      <c r="C116" s="494"/>
      <c r="D116" s="494"/>
      <c r="E116" s="500"/>
      <c r="F116" s="501"/>
      <c r="G116" s="501"/>
      <c r="H116" s="501"/>
      <c r="I116" s="502"/>
      <c r="J116" s="502"/>
      <c r="K116" s="503"/>
      <c r="L116" s="360"/>
      <c r="M116" s="510">
        <v>12</v>
      </c>
      <c r="N116" s="511" t="s">
        <v>355</v>
      </c>
      <c r="O116" s="512">
        <v>0.29399999999999998</v>
      </c>
      <c r="R116" s="444"/>
      <c r="S116" s="354"/>
    </row>
    <row r="117" spans="1:24" ht="24.75" customHeight="1" x14ac:dyDescent="0.2">
      <c r="A117" s="492"/>
      <c r="B117" s="493"/>
      <c r="C117" s="494"/>
      <c r="D117" s="494"/>
      <c r="E117" s="500"/>
      <c r="F117" s="501"/>
      <c r="G117" s="501"/>
      <c r="H117" s="501"/>
      <c r="I117" s="502"/>
      <c r="J117" s="502"/>
      <c r="K117" s="503"/>
      <c r="L117" s="405"/>
      <c r="M117" s="510">
        <v>13</v>
      </c>
      <c r="N117" s="511" t="s">
        <v>356</v>
      </c>
      <c r="O117" s="512">
        <v>0.28799999999999998</v>
      </c>
      <c r="R117" s="444"/>
      <c r="S117" s="354"/>
    </row>
    <row r="118" spans="1:24" ht="24" customHeight="1" x14ac:dyDescent="0.2">
      <c r="A118" s="492"/>
      <c r="B118" s="493"/>
      <c r="C118" s="494"/>
      <c r="D118" s="494"/>
      <c r="E118" s="500"/>
      <c r="F118" s="501"/>
      <c r="G118" s="501"/>
      <c r="H118" s="501"/>
      <c r="I118" s="502"/>
      <c r="J118" s="502"/>
      <c r="K118" s="503"/>
      <c r="L118" s="360"/>
      <c r="M118" s="510">
        <v>14</v>
      </c>
      <c r="N118" s="511" t="s">
        <v>357</v>
      </c>
      <c r="O118" s="512">
        <v>0.28999999999999998</v>
      </c>
      <c r="Q118" s="518"/>
      <c r="S118" s="514"/>
      <c r="V118" s="519"/>
    </row>
    <row r="119" spans="1:24" ht="24" customHeight="1" x14ac:dyDescent="0.2">
      <c r="A119" s="492"/>
      <c r="B119" s="493"/>
      <c r="C119" s="494"/>
      <c r="D119" s="494"/>
      <c r="E119" s="500"/>
      <c r="F119" s="501"/>
      <c r="G119" s="501"/>
      <c r="H119" s="501"/>
      <c r="I119" s="502"/>
      <c r="J119" s="502"/>
      <c r="K119" s="503"/>
      <c r="L119" s="360"/>
      <c r="M119" s="510">
        <v>15</v>
      </c>
      <c r="N119" s="511" t="s">
        <v>304</v>
      </c>
      <c r="O119" s="512">
        <v>0.28499999999999998</v>
      </c>
      <c r="S119" s="514"/>
      <c r="V119" s="519"/>
      <c r="W119" s="519"/>
    </row>
    <row r="120" spans="1:24" ht="24" customHeight="1" x14ac:dyDescent="0.2">
      <c r="A120" s="492"/>
      <c r="B120" s="493"/>
      <c r="C120" s="494"/>
      <c r="D120" s="494"/>
      <c r="E120" s="500"/>
      <c r="F120" s="501"/>
      <c r="G120" s="501"/>
      <c r="H120" s="501"/>
      <c r="I120" s="502"/>
      <c r="J120" s="502"/>
      <c r="K120" s="503"/>
      <c r="L120" s="360"/>
      <c r="M120" s="510">
        <v>16</v>
      </c>
      <c r="N120" s="511" t="s">
        <v>358</v>
      </c>
      <c r="O120" s="512">
        <v>0.2833</v>
      </c>
      <c r="S120" s="362"/>
      <c r="V120" s="519"/>
      <c r="W120" s="519"/>
    </row>
    <row r="121" spans="1:24" s="49" customFormat="1" ht="24" customHeight="1" x14ac:dyDescent="0.2">
      <c r="A121" s="520"/>
      <c r="B121" s="520"/>
      <c r="C121" s="520"/>
      <c r="D121" s="520"/>
      <c r="E121" s="521"/>
      <c r="F121" s="521"/>
      <c r="G121" s="521"/>
      <c r="H121" s="521"/>
      <c r="I121" s="522"/>
      <c r="J121" s="522"/>
      <c r="K121" s="522"/>
      <c r="L121" s="405"/>
      <c r="M121" s="510">
        <v>17</v>
      </c>
      <c r="N121" s="511" t="s">
        <v>359</v>
      </c>
      <c r="O121" s="512">
        <v>0.31</v>
      </c>
      <c r="Q121" s="57"/>
      <c r="S121" s="523"/>
      <c r="V121" s="524"/>
      <c r="W121" s="524"/>
    </row>
    <row r="122" spans="1:24" ht="24" customHeight="1" x14ac:dyDescent="0.2">
      <c r="I122" s="525"/>
      <c r="J122" s="525"/>
      <c r="K122" s="526"/>
      <c r="L122" s="405"/>
      <c r="S122" s="362"/>
      <c r="V122" s="519"/>
      <c r="W122" s="519"/>
    </row>
    <row r="123" spans="1:24" ht="24" customHeight="1" x14ac:dyDescent="0.2">
      <c r="I123" s="527"/>
      <c r="J123" s="527"/>
      <c r="K123" s="528"/>
      <c r="L123" s="405"/>
      <c r="S123" s="354"/>
      <c r="V123" s="519"/>
      <c r="W123" s="519"/>
    </row>
    <row r="124" spans="1:24" ht="45.75" customHeight="1" x14ac:dyDescent="0.2">
      <c r="R124" s="519"/>
      <c r="S124" s="354"/>
      <c r="V124" s="519"/>
      <c r="W124" s="519"/>
    </row>
    <row r="125" spans="1:24" ht="47.25" customHeight="1" x14ac:dyDescent="0.2">
      <c r="S125" s="354"/>
      <c r="V125" s="519"/>
      <c r="W125" s="519"/>
    </row>
    <row r="126" spans="1:24" x14ac:dyDescent="0.2">
      <c r="V126" s="519"/>
      <c r="W126" s="519"/>
    </row>
    <row r="127" spans="1:24" ht="24" customHeight="1" x14ac:dyDescent="0.2">
      <c r="V127" s="519"/>
      <c r="W127" s="519"/>
    </row>
    <row r="128" spans="1:24" ht="41.25" customHeight="1" x14ac:dyDescent="0.2">
      <c r="A128" s="529" t="s">
        <v>360</v>
      </c>
      <c r="B128" s="529"/>
      <c r="C128" s="529"/>
      <c r="D128" s="529"/>
      <c r="E128" s="529"/>
      <c r="F128" s="529"/>
      <c r="G128" s="529"/>
      <c r="H128" s="529"/>
      <c r="I128" s="529"/>
      <c r="J128" s="529"/>
      <c r="K128" s="529"/>
      <c r="W128" s="519"/>
    </row>
    <row r="129" spans="1:26" ht="27.75" customHeight="1" x14ac:dyDescent="0.2">
      <c r="A129" s="530"/>
      <c r="B129" s="530"/>
      <c r="C129" s="531"/>
      <c r="D129" s="532"/>
      <c r="E129" s="532"/>
      <c r="F129" s="532"/>
      <c r="G129" s="533"/>
      <c r="H129" s="533"/>
      <c r="I129" s="534"/>
      <c r="J129" s="534"/>
      <c r="K129" s="534"/>
      <c r="W129" s="519"/>
    </row>
    <row r="130" spans="1:26" ht="30" customHeight="1" x14ac:dyDescent="0.2">
      <c r="A130" s="535"/>
      <c r="B130" s="536"/>
      <c r="C130" s="531"/>
      <c r="D130" s="536"/>
      <c r="E130" s="536"/>
      <c r="F130" s="536"/>
      <c r="G130" s="537"/>
      <c r="H130" s="537"/>
      <c r="I130" s="534"/>
      <c r="J130" s="534"/>
      <c r="K130" s="534"/>
    </row>
    <row r="131" spans="1:26" ht="24" customHeight="1" x14ac:dyDescent="0.2">
      <c r="A131" s="538"/>
      <c r="B131" s="536"/>
      <c r="C131" s="531"/>
      <c r="D131" s="536"/>
      <c r="E131" s="536"/>
      <c r="F131" s="536"/>
      <c r="G131" s="537"/>
      <c r="H131" s="537"/>
      <c r="I131" s="533"/>
      <c r="J131" s="533"/>
      <c r="S131" s="519"/>
    </row>
    <row r="132" spans="1:26" ht="24" customHeight="1" x14ac:dyDescent="0.2">
      <c r="A132" s="538"/>
      <c r="B132" s="536"/>
      <c r="C132" s="531"/>
      <c r="D132" s="536"/>
      <c r="E132" s="536"/>
      <c r="F132" s="536"/>
      <c r="G132" s="537"/>
      <c r="H132" s="537"/>
      <c r="I132" s="537"/>
      <c r="J132" s="539"/>
      <c r="K132" s="540"/>
    </row>
    <row r="133" spans="1:26" ht="18.95" customHeight="1" x14ac:dyDescent="0.2">
      <c r="A133" s="535"/>
      <c r="B133" s="536"/>
      <c r="C133" s="531"/>
      <c r="D133" s="536"/>
      <c r="E133" s="536"/>
      <c r="F133" s="536"/>
      <c r="G133" s="533"/>
      <c r="H133" s="533"/>
      <c r="I133" s="537"/>
      <c r="J133" s="539"/>
      <c r="K133" s="540"/>
    </row>
    <row r="134" spans="1:26" ht="18.95" customHeight="1" x14ac:dyDescent="0.2">
      <c r="A134" s="535"/>
      <c r="B134" s="536"/>
      <c r="C134" s="531"/>
      <c r="D134" s="536"/>
      <c r="E134" s="536"/>
      <c r="F134" s="536"/>
      <c r="G134" s="533"/>
      <c r="H134" s="533"/>
      <c r="I134" s="537"/>
      <c r="J134" s="541"/>
      <c r="K134" s="542"/>
      <c r="Y134" s="519"/>
      <c r="Z134" s="519"/>
    </row>
    <row r="135" spans="1:26" ht="18.95" customHeight="1" x14ac:dyDescent="0.2">
      <c r="A135" s="535"/>
      <c r="B135" s="536"/>
      <c r="C135" s="531"/>
      <c r="D135" s="536"/>
      <c r="E135" s="536"/>
      <c r="F135" s="536"/>
      <c r="G135" s="543"/>
      <c r="H135" s="543"/>
      <c r="I135" s="533"/>
      <c r="J135" s="544"/>
      <c r="K135" s="542"/>
    </row>
    <row r="136" spans="1:26" ht="18.95" customHeight="1" x14ac:dyDescent="0.2">
      <c r="A136" s="535"/>
      <c r="B136" s="536"/>
      <c r="C136" s="531"/>
      <c r="D136" s="536"/>
      <c r="E136" s="536"/>
      <c r="F136" s="536"/>
      <c r="G136" s="533"/>
      <c r="H136" s="533"/>
      <c r="I136" s="533"/>
      <c r="J136" s="544"/>
      <c r="K136" s="540"/>
    </row>
    <row r="137" spans="1:26" ht="18.95" customHeight="1" x14ac:dyDescent="0.2">
      <c r="A137" s="535"/>
      <c r="B137" s="536"/>
      <c r="C137" s="531"/>
      <c r="D137" s="536"/>
      <c r="E137" s="536"/>
      <c r="F137" s="536"/>
      <c r="G137" s="533"/>
      <c r="H137" s="533"/>
      <c r="I137" s="543"/>
      <c r="J137" s="539"/>
      <c r="K137" s="540"/>
    </row>
    <row r="138" spans="1:26" ht="18.95" customHeight="1" x14ac:dyDescent="0.2">
      <c r="A138" s="538"/>
      <c r="B138" s="536"/>
      <c r="C138" s="531"/>
      <c r="D138" s="536"/>
      <c r="E138" s="536"/>
      <c r="F138" s="542"/>
      <c r="G138" s="537"/>
      <c r="H138" s="537"/>
      <c r="I138" s="533"/>
      <c r="J138" s="544"/>
      <c r="K138" s="540"/>
    </row>
    <row r="139" spans="1:26" ht="18.95" customHeight="1" x14ac:dyDescent="0.2">
      <c r="A139" s="535"/>
      <c r="B139" s="536"/>
      <c r="C139" s="531"/>
      <c r="D139" s="536"/>
      <c r="E139" s="536"/>
      <c r="F139" s="536"/>
      <c r="G139" s="537"/>
      <c r="H139" s="537"/>
      <c r="I139" s="533"/>
      <c r="J139" s="539"/>
      <c r="K139" s="540"/>
    </row>
    <row r="140" spans="1:26" ht="18.95" customHeight="1" x14ac:dyDescent="0.2">
      <c r="A140" s="535"/>
      <c r="B140" s="536"/>
      <c r="C140" s="531"/>
      <c r="D140" s="536"/>
      <c r="E140" s="536"/>
      <c r="F140" s="536"/>
      <c r="G140" s="533"/>
      <c r="H140" s="533"/>
      <c r="I140" s="537"/>
      <c r="J140" s="539"/>
      <c r="K140" s="540"/>
      <c r="U140" s="519"/>
    </row>
    <row r="141" spans="1:26" ht="18.95" customHeight="1" x14ac:dyDescent="0.2">
      <c r="A141" s="538"/>
      <c r="B141" s="536"/>
      <c r="C141" s="531"/>
      <c r="D141" s="536"/>
      <c r="E141" s="536"/>
      <c r="F141" s="536"/>
      <c r="G141" s="545"/>
      <c r="H141" s="536"/>
      <c r="I141" s="537"/>
      <c r="J141" s="546"/>
      <c r="K141" s="540"/>
      <c r="T141" s="519"/>
      <c r="X141" s="519"/>
    </row>
    <row r="142" spans="1:26" ht="18.95" customHeight="1" x14ac:dyDescent="0.2">
      <c r="A142" s="538"/>
      <c r="B142" s="536"/>
      <c r="C142" s="531"/>
      <c r="D142" s="536"/>
      <c r="E142" s="536"/>
      <c r="F142" s="536"/>
      <c r="G142" s="547"/>
      <c r="H142" s="536"/>
      <c r="I142" s="533"/>
      <c r="J142" s="548"/>
      <c r="K142" s="540"/>
    </row>
    <row r="143" spans="1:26" ht="18.95" customHeight="1" x14ac:dyDescent="0.2">
      <c r="G143" s="547"/>
      <c r="H143" s="536"/>
      <c r="I143" s="535"/>
      <c r="J143" s="540"/>
      <c r="K143" s="540"/>
    </row>
    <row r="144" spans="1:26" ht="18.95" customHeight="1" x14ac:dyDescent="0.2">
      <c r="G144" s="547"/>
      <c r="I144" s="538"/>
      <c r="J144" s="49"/>
      <c r="K144" s="540"/>
    </row>
    <row r="145" spans="9:12" ht="18.95" customHeight="1" x14ac:dyDescent="0.2">
      <c r="I145" s="538"/>
      <c r="J145" s="49"/>
      <c r="K145" s="540"/>
    </row>
    <row r="146" spans="9:12" ht="18.95" customHeight="1" x14ac:dyDescent="0.2"/>
    <row r="147" spans="9:12" ht="18.95" customHeight="1" x14ac:dyDescent="0.2"/>
    <row r="148" spans="9:12" ht="18.95" customHeight="1" x14ac:dyDescent="0.2"/>
    <row r="149" spans="9:12" ht="18.95" customHeight="1" x14ac:dyDescent="0.2"/>
    <row r="150" spans="9:12" ht="18.95" customHeight="1" x14ac:dyDescent="0.2"/>
    <row r="151" spans="9:12" ht="18.95" customHeight="1" x14ac:dyDescent="0.2"/>
    <row r="152" spans="9:12" ht="18.95" customHeight="1" x14ac:dyDescent="0.2"/>
    <row r="154" spans="9:12" x14ac:dyDescent="0.2">
      <c r="L154" s="519"/>
    </row>
    <row r="155" spans="9:12" x14ac:dyDescent="0.2">
      <c r="L155" s="519"/>
    </row>
    <row r="161" ht="12.95" customHeight="1" x14ac:dyDescent="0.2"/>
    <row r="165" ht="12.95" customHeight="1" x14ac:dyDescent="0.2"/>
  </sheetData>
  <sheetProtection formatCells="0"/>
  <mergeCells count="165">
    <mergeCell ref="E119:H119"/>
    <mergeCell ref="I119:K119"/>
    <mergeCell ref="E120:H120"/>
    <mergeCell ref="I120:K120"/>
    <mergeCell ref="I121:K121"/>
    <mergeCell ref="A128:K128"/>
    <mergeCell ref="E116:H116"/>
    <mergeCell ref="I116:K116"/>
    <mergeCell ref="E117:H117"/>
    <mergeCell ref="I117:K117"/>
    <mergeCell ref="E118:H118"/>
    <mergeCell ref="I118:K118"/>
    <mergeCell ref="E113:H113"/>
    <mergeCell ref="I113:K113"/>
    <mergeCell ref="E114:H114"/>
    <mergeCell ref="I114:K114"/>
    <mergeCell ref="E115:H115"/>
    <mergeCell ref="I115:K115"/>
    <mergeCell ref="E110:H110"/>
    <mergeCell ref="I110:K110"/>
    <mergeCell ref="E111:H111"/>
    <mergeCell ref="I111:K111"/>
    <mergeCell ref="E112:H112"/>
    <mergeCell ref="I112:K112"/>
    <mergeCell ref="E107:H107"/>
    <mergeCell ref="I107:K107"/>
    <mergeCell ref="E108:H108"/>
    <mergeCell ref="I108:K108"/>
    <mergeCell ref="E109:H109"/>
    <mergeCell ref="I109:K109"/>
    <mergeCell ref="E104:H104"/>
    <mergeCell ref="I104:K104"/>
    <mergeCell ref="M104:O104"/>
    <mergeCell ref="E105:H105"/>
    <mergeCell ref="I105:K105"/>
    <mergeCell ref="E106:H106"/>
    <mergeCell ref="I106:K106"/>
    <mergeCell ref="E101:H101"/>
    <mergeCell ref="I101:K101"/>
    <mergeCell ref="E102:H102"/>
    <mergeCell ref="I102:K102"/>
    <mergeCell ref="E103:H103"/>
    <mergeCell ref="I103:K103"/>
    <mergeCell ref="E98:H98"/>
    <mergeCell ref="I98:K98"/>
    <mergeCell ref="E99:H99"/>
    <mergeCell ref="I99:K99"/>
    <mergeCell ref="E100:H100"/>
    <mergeCell ref="I100:K100"/>
    <mergeCell ref="E95:H95"/>
    <mergeCell ref="I95:K95"/>
    <mergeCell ref="E96:H96"/>
    <mergeCell ref="I96:K96"/>
    <mergeCell ref="E97:H97"/>
    <mergeCell ref="I97:K97"/>
    <mergeCell ref="G92:H92"/>
    <mergeCell ref="I92:K92"/>
    <mergeCell ref="E93:H93"/>
    <mergeCell ref="I93:K93"/>
    <mergeCell ref="E94:H94"/>
    <mergeCell ref="I94:K94"/>
    <mergeCell ref="H82:I82"/>
    <mergeCell ref="H84:I84"/>
    <mergeCell ref="H85:I85"/>
    <mergeCell ref="H86:I86"/>
    <mergeCell ref="H88:I88"/>
    <mergeCell ref="H89:I89"/>
    <mergeCell ref="E69:F69"/>
    <mergeCell ref="E70:F70"/>
    <mergeCell ref="E71:F71"/>
    <mergeCell ref="E72:F72"/>
    <mergeCell ref="H80:I80"/>
    <mergeCell ref="H81:I81"/>
    <mergeCell ref="B61:B62"/>
    <mergeCell ref="E61:F61"/>
    <mergeCell ref="H61:K61"/>
    <mergeCell ref="B63:B64"/>
    <mergeCell ref="B65:B66"/>
    <mergeCell ref="E68:F68"/>
    <mergeCell ref="G68:G69"/>
    <mergeCell ref="H68:I68"/>
    <mergeCell ref="J68:J69"/>
    <mergeCell ref="K68:K69"/>
    <mergeCell ref="D57:F57"/>
    <mergeCell ref="J57:J58"/>
    <mergeCell ref="K57:K58"/>
    <mergeCell ref="D58:F58"/>
    <mergeCell ref="B59:B60"/>
    <mergeCell ref="E60:F60"/>
    <mergeCell ref="E54:H54"/>
    <mergeCell ref="I54:J54"/>
    <mergeCell ref="A55:B55"/>
    <mergeCell ref="D55:F55"/>
    <mergeCell ref="A56:B56"/>
    <mergeCell ref="D56:F56"/>
    <mergeCell ref="J56:K56"/>
    <mergeCell ref="A51:B51"/>
    <mergeCell ref="I51:J51"/>
    <mergeCell ref="A52:B52"/>
    <mergeCell ref="I52:J52"/>
    <mergeCell ref="M52:Q52"/>
    <mergeCell ref="A53:B53"/>
    <mergeCell ref="M53:O54"/>
    <mergeCell ref="P53:P54"/>
    <mergeCell ref="Q53:Q54"/>
    <mergeCell ref="A54:B54"/>
    <mergeCell ref="I46:J46"/>
    <mergeCell ref="I47:K47"/>
    <mergeCell ref="I48:J48"/>
    <mergeCell ref="I49:J49"/>
    <mergeCell ref="A50:B50"/>
    <mergeCell ref="I50:J50"/>
    <mergeCell ref="A41:D42"/>
    <mergeCell ref="I41:K41"/>
    <mergeCell ref="I42:J42"/>
    <mergeCell ref="G43:H43"/>
    <mergeCell ref="I43:J43"/>
    <mergeCell ref="B44:C44"/>
    <mergeCell ref="E44:F45"/>
    <mergeCell ref="I44:J44"/>
    <mergeCell ref="I45:J45"/>
    <mergeCell ref="E33:F33"/>
    <mergeCell ref="H34:K34"/>
    <mergeCell ref="F37:G37"/>
    <mergeCell ref="F38:G38"/>
    <mergeCell ref="A40:B40"/>
    <mergeCell ref="I40:K40"/>
    <mergeCell ref="B28:B29"/>
    <mergeCell ref="C28:C29"/>
    <mergeCell ref="D28:D29"/>
    <mergeCell ref="A31:A32"/>
    <mergeCell ref="B31:B32"/>
    <mergeCell ref="C31:C32"/>
    <mergeCell ref="D31:D32"/>
    <mergeCell ref="A21:E21"/>
    <mergeCell ref="G21:K21"/>
    <mergeCell ref="A26:D26"/>
    <mergeCell ref="G26:K26"/>
    <mergeCell ref="G27:G28"/>
    <mergeCell ref="H27:H28"/>
    <mergeCell ref="I27:I28"/>
    <mergeCell ref="J27:J28"/>
    <mergeCell ref="K27:K28"/>
    <mergeCell ref="A28:A29"/>
    <mergeCell ref="A16:A18"/>
    <mergeCell ref="B16:B18"/>
    <mergeCell ref="C16:C18"/>
    <mergeCell ref="D16:D18"/>
    <mergeCell ref="E16:E18"/>
    <mergeCell ref="F16:F18"/>
    <mergeCell ref="A5:C5"/>
    <mergeCell ref="D5:F5"/>
    <mergeCell ref="H5:K5"/>
    <mergeCell ref="A13:B13"/>
    <mergeCell ref="D13:E13"/>
    <mergeCell ref="A15:F15"/>
    <mergeCell ref="J15:K15"/>
    <mergeCell ref="C1:G1"/>
    <mergeCell ref="H1:I1"/>
    <mergeCell ref="J1:K1"/>
    <mergeCell ref="B2:C2"/>
    <mergeCell ref="J2:K2"/>
    <mergeCell ref="B3:C3"/>
    <mergeCell ref="H3:I3"/>
    <mergeCell ref="J3:K3"/>
  </mergeCells>
  <conditionalFormatting sqref="B35">
    <cfRule type="cellIs" dxfId="4" priority="5" operator="greaterThan">
      <formula>0.5</formula>
    </cfRule>
  </conditionalFormatting>
  <conditionalFormatting sqref="B39">
    <cfRule type="cellIs" dxfId="3" priority="4" operator="greaterThan">
      <formula>0.97</formula>
    </cfRule>
  </conditionalFormatting>
  <conditionalFormatting sqref="K29">
    <cfRule type="cellIs" dxfId="2" priority="3" operator="greaterThan">
      <formula>100</formula>
    </cfRule>
  </conditionalFormatting>
  <conditionalFormatting sqref="K35">
    <cfRule type="cellIs" dxfId="1" priority="2" operator="greaterThan">
      <formula>100</formula>
    </cfRule>
  </conditionalFormatting>
  <conditionalFormatting sqref="K19">
    <cfRule type="expression" dxfId="0" priority="1">
      <formula>$K$19/$K$18&gt;0.268</formula>
    </cfRule>
  </conditionalFormatting>
  <printOptions horizontalCentered="1" verticalCentered="1"/>
  <pageMargins left="0.62992125984251968" right="0.39370078740157483" top="0" bottom="0" header="0" footer="0.19685039370078741"/>
  <pageSetup scale="51" fitToHeight="0" orientation="portrait" horizontalDpi="4294967293" verticalDpi="4294967293" r:id="rId1"/>
  <headerFooter alignWithMargins="0">
    <oddFooter>&amp;L&amp;12V23.10&amp;C&amp;12&amp;D</oddFooter>
  </headerFooter>
  <rowBreaks count="1" manualBreakCount="1">
    <brk id="66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0</xdr:col>
                    <xdr:colOff>19050</xdr:colOff>
                    <xdr:row>18</xdr:row>
                    <xdr:rowOff>19050</xdr:rowOff>
                  </from>
                  <to>
                    <xdr:col>0</xdr:col>
                    <xdr:colOff>1219200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0</xdr:col>
                    <xdr:colOff>28575</xdr:colOff>
                    <xdr:row>29</xdr:row>
                    <xdr:rowOff>28575</xdr:rowOff>
                  </from>
                  <to>
                    <xdr:col>0</xdr:col>
                    <xdr:colOff>1228725</xdr:colOff>
                    <xdr:row>29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QA23</vt:lpstr>
      <vt:lpstr>'QA23'!Grape_yield</vt:lpstr>
      <vt:lpstr>'QA23'!Print_Area</vt:lpstr>
      <vt:lpstr>'QA23'!Yeast_Table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Wyngaards</dc:creator>
  <cp:lastModifiedBy>Willem Wyngaards</cp:lastModifiedBy>
  <dcterms:created xsi:type="dcterms:W3CDTF">2023-09-18T21:20:29Z</dcterms:created>
  <dcterms:modified xsi:type="dcterms:W3CDTF">2023-09-18T21:25:17Z</dcterms:modified>
</cp:coreProperties>
</file>