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OneDrive\Documents(Skydrive)\Nanaimo Winemakers\"/>
    </mc:Choice>
  </mc:AlternateContent>
  <xr:revisionPtr revIDLastSave="0" documentId="13_ncr:1_{1C1ED8E5-565F-4236-A962-11FCEA1283B6}" xr6:coauthVersionLast="47" xr6:coauthVersionMax="47" xr10:uidLastSave="{00000000-0000-0000-0000-000000000000}"/>
  <bookViews>
    <workbookView xWindow="3456" yWindow="1140" windowWidth="22380" windowHeight="16140" xr2:uid="{00000000-000D-0000-FFFF-FFFF00000000}"/>
  </bookViews>
  <sheets>
    <sheet name="D254" sheetId="1" r:id="rId1"/>
  </sheets>
  <definedNames>
    <definedName name="Excel_BuiltIn_Print_Area_1" localSheetId="0">#REF!</definedName>
    <definedName name="Excel_BuiltIn_Print_Area_1">#REF!</definedName>
    <definedName name="Grape_yield">'D254'!$M$115:$O$131</definedName>
    <definedName name="Must_Yeast_Nutrient" localSheetId="0">#REF!</definedName>
    <definedName name="Must_Yeast_Nutrient">#REF!</definedName>
    <definedName name="Yeast_Table">'D254'!$M$67:$O$111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5" i="1" l="1"/>
  <c r="B83" i="1"/>
  <c r="H77" i="1"/>
  <c r="I74" i="1"/>
  <c r="C73" i="1"/>
  <c r="C74" i="1" s="1"/>
  <c r="C75" i="1" s="1"/>
  <c r="J71" i="1"/>
  <c r="H71" i="1"/>
  <c r="F70" i="1"/>
  <c r="F71" i="1" s="1"/>
  <c r="J69" i="1"/>
  <c r="H69" i="1"/>
  <c r="J67" i="1"/>
  <c r="H67" i="1"/>
  <c r="K63" i="1"/>
  <c r="D63" i="1"/>
  <c r="K62" i="1"/>
  <c r="D62" i="1"/>
  <c r="K61" i="1"/>
  <c r="D61" i="1"/>
  <c r="K60" i="1"/>
  <c r="D60" i="1"/>
  <c r="K59" i="1"/>
  <c r="D59" i="1"/>
  <c r="K58" i="1"/>
  <c r="D58" i="1"/>
  <c r="K57" i="1"/>
  <c r="D57" i="1"/>
  <c r="K56" i="1"/>
  <c r="D56" i="1"/>
  <c r="K55" i="1"/>
  <c r="D55" i="1"/>
  <c r="K54" i="1"/>
  <c r="D54" i="1"/>
  <c r="K53" i="1"/>
  <c r="D53" i="1"/>
  <c r="K52" i="1"/>
  <c r="D52" i="1"/>
  <c r="K51" i="1"/>
  <c r="D51" i="1"/>
  <c r="K50" i="1"/>
  <c r="D50" i="1"/>
  <c r="K49" i="1"/>
  <c r="D49" i="1"/>
  <c r="K48" i="1"/>
  <c r="D48" i="1"/>
  <c r="K47" i="1"/>
  <c r="D47" i="1"/>
  <c r="K46" i="1"/>
  <c r="D46" i="1"/>
  <c r="D45" i="1"/>
  <c r="D39" i="1"/>
  <c r="J37" i="1" s="1"/>
  <c r="C39" i="1"/>
  <c r="H38" i="1"/>
  <c r="I38" i="1" s="1"/>
  <c r="J38" i="1" s="1"/>
  <c r="K38" i="1" s="1"/>
  <c r="I37" i="1"/>
  <c r="D37" i="1"/>
  <c r="J32" i="1" s="1"/>
  <c r="C37" i="1"/>
  <c r="K36" i="1"/>
  <c r="D36" i="1"/>
  <c r="I31" i="1" s="1"/>
  <c r="C36" i="1"/>
  <c r="D35" i="1"/>
  <c r="J30" i="1" s="1"/>
  <c r="C35" i="1"/>
  <c r="B33" i="1"/>
  <c r="D33" i="1" s="1"/>
  <c r="C30" i="1"/>
  <c r="D30" i="1" s="1"/>
  <c r="K29" i="1"/>
  <c r="J25" i="1"/>
  <c r="G25" i="1"/>
  <c r="I25" i="1" s="1"/>
  <c r="D24" i="1"/>
  <c r="D23" i="1"/>
  <c r="E23" i="1" s="1"/>
  <c r="K19" i="1"/>
  <c r="E19" i="1"/>
  <c r="C19" i="1"/>
  <c r="F19" i="1" s="1"/>
  <c r="K12" i="1"/>
  <c r="F12" i="1"/>
  <c r="C12" i="1"/>
  <c r="K11" i="1"/>
  <c r="F11" i="1"/>
  <c r="C11" i="1"/>
  <c r="K10" i="1"/>
  <c r="F10" i="1"/>
  <c r="C10" i="1"/>
  <c r="K9" i="1"/>
  <c r="F9" i="1"/>
  <c r="C9" i="1"/>
  <c r="K8" i="1"/>
  <c r="F8" i="1"/>
  <c r="C8" i="1"/>
  <c r="K7" i="1"/>
  <c r="F7" i="1"/>
  <c r="C7" i="1"/>
  <c r="H25" i="1" l="1"/>
  <c r="G31" i="1"/>
  <c r="J31" i="1"/>
  <c r="B34" i="1"/>
  <c r="C34" i="1" s="1"/>
  <c r="C40" i="1" s="1"/>
  <c r="F13" i="1"/>
  <c r="G32" i="1"/>
  <c r="H30" i="1"/>
  <c r="H31" i="1"/>
  <c r="K31" i="1" s="1"/>
  <c r="H32" i="1"/>
  <c r="G30" i="1"/>
  <c r="I30" i="1"/>
  <c r="C13" i="1"/>
  <c r="I32" i="1"/>
  <c r="K13" i="1"/>
  <c r="K25" i="1"/>
  <c r="D34" i="1"/>
  <c r="H37" i="1"/>
  <c r="K37" i="1" s="1"/>
  <c r="F69" i="1"/>
  <c r="K30" i="1" l="1"/>
  <c r="K32" i="1"/>
  <c r="G33" i="1"/>
  <c r="H33" i="1" s="1"/>
  <c r="I33" i="1" s="1"/>
  <c r="H39" i="1" l="1"/>
  <c r="I39" i="1"/>
  <c r="J33" i="1"/>
  <c r="K33" i="1" l="1"/>
  <c r="K39" i="1" s="1"/>
  <c r="J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>Willem Wyngaards</author>
    <author>WILLEM</author>
    <author>Bill Wyngaards</author>
  </authors>
  <commentList>
    <comment ref="B6" authorId="0" shapeId="0" xr:uid="{00000000-0006-0000-0000-000001000000}">
      <text>
        <r>
          <rPr>
            <sz val="12"/>
            <color indexed="81"/>
            <rFont val="Tahoma"/>
            <family val="2"/>
          </rPr>
          <t>6 gal API Kirk #16 pail from California.
Freeboard measured down from the top rim.</t>
        </r>
        <r>
          <rPr>
            <b/>
            <sz val="12"/>
            <color indexed="81"/>
            <rFont val="Tahoma"/>
            <family val="2"/>
          </rPr>
          <t xml:space="preserve"> (mm)</t>
        </r>
      </text>
    </comment>
    <comment ref="E6" authorId="0" shapeId="0" xr:uid="{00000000-0006-0000-0000-000002000000}">
      <text>
        <r>
          <rPr>
            <sz val="12"/>
            <color indexed="81"/>
            <rFont val="Tahoma"/>
            <family val="2"/>
          </rPr>
          <t>6 gal API Kirk #16 pail from California.
Freeboard measured down from the top rim in</t>
        </r>
        <r>
          <rPr>
            <b/>
            <sz val="12"/>
            <color indexed="81"/>
            <rFont val="Tahoma"/>
            <family val="2"/>
          </rPr>
          <t xml:space="preserve"> (mm)</t>
        </r>
        <r>
          <rPr>
            <sz val="12"/>
            <color indexed="81"/>
            <rFont val="Tahoma"/>
            <family val="2"/>
          </rPr>
          <t>.</t>
        </r>
      </text>
    </comment>
    <comment ref="D22" authorId="0" shapeId="0" xr:uid="{00000000-0006-0000-0000-000003000000}">
      <text>
        <r>
          <rPr>
            <sz val="12"/>
            <color indexed="81"/>
            <rFont val="Tahoma"/>
            <family val="2"/>
          </rPr>
          <t xml:space="preserve">Kilogram (Kg) to Pounds (Lbs)
Multiply Kilograms by </t>
        </r>
        <r>
          <rPr>
            <b/>
            <sz val="12"/>
            <color indexed="81"/>
            <rFont val="Tahoma"/>
            <family val="2"/>
          </rPr>
          <t>2.204</t>
        </r>
      </text>
    </comment>
    <comment ref="D23" authorId="1" shapeId="0" xr:uid="{00000000-0006-0000-0000-000004000000}">
      <text>
        <r>
          <rPr>
            <sz val="12"/>
            <color indexed="81"/>
            <rFont val="Tahoma"/>
            <family val="2"/>
          </rPr>
          <t>Add 1/2 and Check change in Brix reading. Use change in Brix reading to re-calculate volume estimate.</t>
        </r>
      </text>
    </comment>
    <comment ref="D25" authorId="1" shapeId="0" xr:uid="{00000000-0006-0000-0000-000005000000}">
      <text>
        <r>
          <rPr>
            <sz val="12"/>
            <color indexed="81"/>
            <rFont val="Tahoma"/>
            <family val="2"/>
          </rPr>
          <t xml:space="preserve">Pounds (Lbs) to Kilograms (kg) multiply pounds by </t>
        </r>
        <r>
          <rPr>
            <b/>
            <sz val="12"/>
            <color indexed="81"/>
            <rFont val="Tahoma"/>
            <family val="2"/>
          </rPr>
          <t>0.454</t>
        </r>
      </text>
    </comment>
    <comment ref="G29" authorId="1" shapeId="0" xr:uid="{00000000-0006-0000-0000-000006000000}">
      <text>
        <r>
          <rPr>
            <sz val="12"/>
            <color indexed="81"/>
            <rFont val="Tahoma"/>
            <family val="2"/>
          </rPr>
          <t>Edit split percentages to total 100% At start up provide &gt;150mgN/L</t>
        </r>
      </text>
    </comment>
    <comment ref="C30" authorId="0" shapeId="0" xr:uid="{00000000-0006-0000-0000-000007000000}">
      <text>
        <r>
          <rPr>
            <b/>
            <sz val="12"/>
            <color indexed="81"/>
            <rFont val="Tahoma"/>
            <family val="2"/>
          </rPr>
          <t>NOTE:</t>
        </r>
        <r>
          <rPr>
            <sz val="12"/>
            <color indexed="81"/>
            <rFont val="Tahoma"/>
            <family val="2"/>
          </rPr>
          <t>-
Brix Recommended levels: 
LESS THAN 150 mgN/L STUCK FERMENT
LESS THAN 200 mgN/L H</t>
        </r>
        <r>
          <rPr>
            <vertAlign val="subscript"/>
            <sz val="12"/>
            <color indexed="81"/>
            <rFont val="Tahoma"/>
            <family val="2"/>
          </rPr>
          <t>2</t>
        </r>
        <r>
          <rPr>
            <sz val="12"/>
            <color indexed="81"/>
            <rFont val="Tahoma"/>
            <family val="2"/>
          </rPr>
          <t>S RISK</t>
        </r>
      </text>
    </comment>
    <comment ref="D30" authorId="0" shapeId="0" xr:uid="{00000000-0006-0000-0000-000008000000}">
      <text>
        <r>
          <rPr>
            <sz val="12"/>
            <color indexed="81"/>
            <rFont val="Tahoma"/>
            <family val="2"/>
          </rPr>
          <t xml:space="preserve">Increase nitrogen sources in Column B until YAN total in cell </t>
        </r>
        <r>
          <rPr>
            <b/>
            <sz val="12"/>
            <color indexed="81"/>
            <rFont val="Tahoma"/>
            <family val="2"/>
          </rPr>
          <t>C40</t>
        </r>
        <r>
          <rPr>
            <sz val="12"/>
            <color indexed="81"/>
            <rFont val="Tahoma"/>
            <family val="2"/>
          </rPr>
          <t xml:space="preserve"> equals YAN in cell </t>
        </r>
        <r>
          <rPr>
            <b/>
            <sz val="12"/>
            <color indexed="81"/>
            <rFont val="Tahoma"/>
            <family val="2"/>
          </rPr>
          <t>D30</t>
        </r>
      </text>
    </comment>
    <comment ref="D31" authorId="1" shapeId="0" xr:uid="{00000000-0006-0000-0000-000009000000}">
      <text>
        <r>
          <rPr>
            <sz val="12"/>
            <color indexed="81"/>
            <rFont val="Tahoma"/>
            <family val="2"/>
          </rPr>
          <t xml:space="preserve">Enter Volume in cell </t>
        </r>
        <r>
          <rPr>
            <b/>
            <sz val="12"/>
            <color indexed="81"/>
            <rFont val="Tahoma"/>
            <family val="2"/>
          </rPr>
          <t>D27</t>
        </r>
      </text>
    </comment>
    <comment ref="B33" authorId="1" shapeId="0" xr:uid="{00000000-0006-0000-0000-00000A000000}">
      <text>
        <r>
          <rPr>
            <sz val="12"/>
            <color indexed="81"/>
            <rFont val="Tahoma"/>
            <family val="2"/>
          </rPr>
          <t>Standard dosage is 0.25 g/L.
Amount increases proportional to Brix.</t>
        </r>
      </text>
    </comment>
    <comment ref="A34" authorId="2" shapeId="0" xr:uid="{00000000-0006-0000-0000-00000B000000}">
      <text>
        <r>
          <rPr>
            <b/>
            <sz val="12"/>
            <color indexed="81"/>
            <rFont val="Tahoma"/>
            <family val="2"/>
          </rPr>
          <t>GoFerm</t>
        </r>
        <r>
          <rPr>
            <sz val="12"/>
            <color indexed="81"/>
            <rFont val="Tahoma"/>
            <family val="2"/>
          </rPr>
          <t xml:space="preserve">
Added to yeast rehydration water. 
1 g/L yields 30 mgN/L</t>
        </r>
      </text>
    </comment>
    <comment ref="B34" authorId="1" shapeId="0" xr:uid="{00000000-0006-0000-0000-00000C000000}">
      <text>
        <r>
          <rPr>
            <sz val="12"/>
            <color indexed="81"/>
            <rFont val="Tahoma"/>
            <family val="2"/>
          </rPr>
          <t xml:space="preserve">Standard dosage is 1.25 times weight of yeast, rehydrate in 20 times its weight in water. </t>
        </r>
      </text>
    </comment>
    <comment ref="A35" authorId="2" shapeId="0" xr:uid="{00000000-0006-0000-0000-00000D000000}">
      <text>
        <r>
          <rPr>
            <b/>
            <sz val="12"/>
            <color indexed="81"/>
            <rFont val="Tahoma"/>
            <family val="2"/>
          </rPr>
          <t>Fermaid K</t>
        </r>
        <r>
          <rPr>
            <sz val="12"/>
            <color indexed="81"/>
            <rFont val="Tahoma"/>
            <family val="2"/>
          </rPr>
          <t xml:space="preserve">
1 g/L 
yields 100 mgN/L</t>
        </r>
      </text>
    </comment>
    <comment ref="B35" authorId="1" shapeId="0" xr:uid="{00000000-0006-0000-0000-00000E000000}">
      <text>
        <r>
          <rPr>
            <b/>
            <sz val="12"/>
            <color indexed="81"/>
            <rFont val="Tahoma"/>
            <family val="2"/>
          </rPr>
          <t>0.5 g/L</t>
        </r>
        <r>
          <rPr>
            <sz val="12"/>
            <color indexed="81"/>
            <rFont val="Tahoma"/>
            <family val="2"/>
          </rPr>
          <t xml:space="preserve"> is the maximum amount set by the </t>
        </r>
        <r>
          <rPr>
            <b/>
            <sz val="12"/>
            <color indexed="81"/>
            <rFont val="Tahoma"/>
            <family val="2"/>
          </rPr>
          <t>A</t>
        </r>
        <r>
          <rPr>
            <sz val="12"/>
            <color indexed="81"/>
            <rFont val="Tahoma"/>
            <family val="2"/>
          </rPr>
          <t xml:space="preserve">lcohol and </t>
        </r>
        <r>
          <rPr>
            <b/>
            <sz val="12"/>
            <color indexed="81"/>
            <rFont val="Tahoma"/>
            <family val="2"/>
          </rPr>
          <t>T</t>
        </r>
        <r>
          <rPr>
            <sz val="12"/>
            <color indexed="81"/>
            <rFont val="Tahoma"/>
            <family val="2"/>
          </rPr>
          <t xml:space="preserve">obacco </t>
        </r>
        <r>
          <rPr>
            <b/>
            <sz val="12"/>
            <color indexed="81"/>
            <rFont val="Tahoma"/>
            <family val="2"/>
          </rPr>
          <t>T</t>
        </r>
        <r>
          <rPr>
            <sz val="12"/>
            <color indexed="81"/>
            <rFont val="Tahoma"/>
            <family val="2"/>
          </rPr>
          <t xml:space="preserve">ax </t>
        </r>
        <r>
          <rPr>
            <b/>
            <sz val="12"/>
            <color indexed="81"/>
            <rFont val="Tahoma"/>
            <family val="2"/>
          </rPr>
          <t>B</t>
        </r>
        <r>
          <rPr>
            <sz val="12"/>
            <color indexed="81"/>
            <rFont val="Tahoma"/>
            <family val="2"/>
          </rPr>
          <t>ureau because of the vitamin B1 (thiamine) content, limit is 0.6 mg/L</t>
        </r>
      </text>
    </comment>
    <comment ref="A36" authorId="0" shapeId="0" xr:uid="{00000000-0006-0000-0000-00000F000000}">
      <text>
        <r>
          <rPr>
            <b/>
            <sz val="12"/>
            <color indexed="81"/>
            <rFont val="Tahoma"/>
            <family val="2"/>
          </rPr>
          <t xml:space="preserve">Fermaid O
</t>
        </r>
        <r>
          <rPr>
            <sz val="12"/>
            <color indexed="81"/>
            <rFont val="Tahoma"/>
            <family val="2"/>
          </rPr>
          <t>1 g/L yields 40 mgN/L but is equivalent to 160—240 mgN/L</t>
        </r>
      </text>
    </comment>
    <comment ref="H36" authorId="1" shapeId="0" xr:uid="{00000000-0006-0000-0000-000010000000}">
      <text>
        <r>
          <rPr>
            <sz val="12"/>
            <color indexed="81"/>
            <rFont val="Tahoma"/>
            <family val="2"/>
          </rPr>
          <t>Edit split percentages to total 100%</t>
        </r>
      </text>
    </comment>
    <comment ref="A37" authorId="2" shapeId="0" xr:uid="{00000000-0006-0000-0000-000011000000}">
      <text>
        <r>
          <rPr>
            <b/>
            <sz val="12"/>
            <color indexed="81"/>
            <rFont val="Tahoma"/>
            <family val="2"/>
          </rPr>
          <t>Fermax</t>
        </r>
        <r>
          <rPr>
            <sz val="12"/>
            <color indexed="81"/>
            <rFont val="Tahoma"/>
            <family val="2"/>
          </rPr>
          <t>, (Spagnols ?)
1 g/L yields 96 mgN/L</t>
        </r>
      </text>
    </comment>
    <comment ref="G37" authorId="0" shapeId="0" xr:uid="{00000000-0006-0000-0000-000012000000}">
      <text>
        <r>
          <rPr>
            <sz val="12"/>
            <color indexed="81"/>
            <rFont val="Tahoma"/>
            <family val="2"/>
          </rPr>
          <t>Use DAP post Lag phase and before 1/3 Brix Drop.</t>
        </r>
      </text>
    </comment>
    <comment ref="A39" authorId="2" shapeId="0" xr:uid="{00000000-0006-0000-0000-000013000000}">
      <text>
        <r>
          <rPr>
            <b/>
            <sz val="12"/>
            <color indexed="81"/>
            <rFont val="Tahoma"/>
            <family val="2"/>
          </rPr>
          <t>LIMIT THE AMOUNT OF DAP</t>
        </r>
        <r>
          <rPr>
            <sz val="12"/>
            <color indexed="81"/>
            <rFont val="Tahoma"/>
            <family val="2"/>
          </rPr>
          <t xml:space="preserve">
Use organic nutrients (GoFerm and Fermaid O) at start up. 
DAP should be use only if YAN is very low and after lag phase. This is approximately a 2—3 Brix drop. 
</t>
        </r>
        <r>
          <rPr>
            <b/>
            <sz val="12"/>
            <color indexed="81"/>
            <rFont val="Tahoma"/>
            <family val="2"/>
          </rPr>
          <t>NOTE:-</t>
        </r>
        <r>
          <rPr>
            <sz val="12"/>
            <color indexed="81"/>
            <rFont val="Tahoma"/>
            <family val="2"/>
          </rPr>
          <t xml:space="preserve">
US ATTB DAP limit is </t>
        </r>
        <r>
          <rPr>
            <b/>
            <sz val="12"/>
            <color indexed="81"/>
            <rFont val="Tahoma"/>
            <family val="2"/>
          </rPr>
          <t>0.97 g/L</t>
        </r>
        <r>
          <rPr>
            <sz val="12"/>
            <color indexed="81"/>
            <rFont val="Tahoma"/>
            <family val="2"/>
          </rPr>
          <t xml:space="preserve"> = 203 mgN/L 
Australia DAP limit is </t>
        </r>
        <r>
          <rPr>
            <b/>
            <sz val="12"/>
            <color indexed="81"/>
            <rFont val="Tahoma"/>
            <family val="2"/>
          </rPr>
          <t>1.7 g/L</t>
        </r>
        <r>
          <rPr>
            <sz val="12"/>
            <color indexed="81"/>
            <rFont val="Tahoma"/>
            <family val="2"/>
          </rPr>
          <t xml:space="preserve"> = 360 mgN/L.
 1 g/L DAP yields 212 mgN/L</t>
        </r>
      </text>
    </comment>
    <comment ref="B39" authorId="1" shapeId="0" xr:uid="{00000000-0006-0000-0000-000014000000}">
      <text>
        <r>
          <rPr>
            <b/>
            <sz val="12"/>
            <color indexed="81"/>
            <rFont val="Tahoma"/>
            <family val="2"/>
          </rPr>
          <t>0.97 g/L</t>
        </r>
        <r>
          <rPr>
            <sz val="12"/>
            <color indexed="81"/>
            <rFont val="Tahoma"/>
            <family val="2"/>
          </rPr>
          <t xml:space="preserve"> is the maximum amount set by the </t>
        </r>
        <r>
          <rPr>
            <b/>
            <sz val="12"/>
            <color indexed="81"/>
            <rFont val="Tahoma"/>
            <family val="2"/>
          </rPr>
          <t>A</t>
        </r>
        <r>
          <rPr>
            <sz val="12"/>
            <color indexed="81"/>
            <rFont val="Tahoma"/>
            <family val="2"/>
          </rPr>
          <t xml:space="preserve">lcohol and </t>
        </r>
        <r>
          <rPr>
            <b/>
            <sz val="12"/>
            <color indexed="81"/>
            <rFont val="Tahoma"/>
            <family val="2"/>
          </rPr>
          <t>T</t>
        </r>
        <r>
          <rPr>
            <sz val="12"/>
            <color indexed="81"/>
            <rFont val="Tahoma"/>
            <family val="2"/>
          </rPr>
          <t xml:space="preserve">obacco </t>
        </r>
        <r>
          <rPr>
            <b/>
            <sz val="12"/>
            <color indexed="81"/>
            <rFont val="Tahoma"/>
            <family val="2"/>
          </rPr>
          <t>T</t>
        </r>
        <r>
          <rPr>
            <sz val="12"/>
            <color indexed="81"/>
            <rFont val="Tahoma"/>
            <family val="2"/>
          </rPr>
          <t xml:space="preserve">ax </t>
        </r>
        <r>
          <rPr>
            <b/>
            <sz val="12"/>
            <color indexed="81"/>
            <rFont val="Tahoma"/>
            <family val="2"/>
          </rPr>
          <t>B</t>
        </r>
        <r>
          <rPr>
            <sz val="12"/>
            <color indexed="81"/>
            <rFont val="Tahoma"/>
            <family val="2"/>
          </rPr>
          <t xml:space="preserve">ureau.
</t>
        </r>
      </text>
    </comment>
    <comment ref="C40" authorId="0" shapeId="0" xr:uid="{00000000-0006-0000-0000-000015000000}">
      <text>
        <r>
          <rPr>
            <sz val="12"/>
            <color indexed="81"/>
            <rFont val="Tahoma"/>
            <family val="2"/>
          </rPr>
          <t>Increase nitrogen sources until YAN total in cell</t>
        </r>
        <r>
          <rPr>
            <b/>
            <sz val="12"/>
            <color indexed="81"/>
            <rFont val="Tahoma"/>
            <family val="2"/>
          </rPr>
          <t xml:space="preserve"> C40</t>
        </r>
        <r>
          <rPr>
            <sz val="12"/>
            <color indexed="81"/>
            <rFont val="Tahoma"/>
            <family val="2"/>
          </rPr>
          <t xml:space="preserve"> equals YAN in cell </t>
        </r>
        <r>
          <rPr>
            <b/>
            <sz val="12"/>
            <color indexed="81"/>
            <rFont val="Tahoma"/>
            <family val="2"/>
          </rPr>
          <t>D30</t>
        </r>
      </text>
    </comment>
    <comment ref="C44" authorId="1" shapeId="0" xr:uid="{00000000-0006-0000-0000-000016000000}">
      <text>
        <r>
          <rPr>
            <b/>
            <sz val="12"/>
            <color indexed="81"/>
            <rFont val="Tahoma"/>
            <family val="2"/>
          </rPr>
          <t>Edit</t>
        </r>
        <r>
          <rPr>
            <sz val="12"/>
            <color indexed="81"/>
            <rFont val="Tahoma"/>
            <family val="2"/>
          </rPr>
          <t xml:space="preserve"> USE column to your dosage.</t>
        </r>
      </text>
    </comment>
    <comment ref="J44" authorId="1" shapeId="0" xr:uid="{00000000-0006-0000-0000-000017000000}">
      <text>
        <r>
          <rPr>
            <b/>
            <sz val="12"/>
            <color indexed="81"/>
            <rFont val="Tahoma"/>
            <family val="2"/>
          </rPr>
          <t>Edit</t>
        </r>
        <r>
          <rPr>
            <sz val="12"/>
            <color indexed="81"/>
            <rFont val="Tahoma"/>
            <family val="2"/>
          </rPr>
          <t xml:space="preserve"> USE column to your dosage.</t>
        </r>
      </text>
    </comment>
    <comment ref="B45" authorId="3" shapeId="0" xr:uid="{00000000-0006-0000-0000-000018000000}">
      <text>
        <r>
          <rPr>
            <sz val="12"/>
            <color indexed="81"/>
            <rFont val="Tahoma"/>
            <family val="2"/>
          </rPr>
          <t>At pH 3.30 and Molecular 0.8 yields 28 ppm Free SO</t>
        </r>
        <r>
          <rPr>
            <vertAlign val="subscript"/>
            <sz val="12"/>
            <color indexed="81"/>
            <rFont val="Tahoma"/>
            <family val="2"/>
          </rPr>
          <t xml:space="preserve">2 </t>
        </r>
      </text>
    </comment>
    <comment ref="A46" authorId="0" shapeId="0" xr:uid="{00000000-0006-0000-0000-000019000000}">
      <text>
        <r>
          <rPr>
            <sz val="12"/>
            <color indexed="81"/>
            <rFont val="Tahoma"/>
            <family val="2"/>
          </rPr>
          <t>Dosage on weight of must.</t>
        </r>
      </text>
    </comment>
    <comment ref="G46" authorId="0" shapeId="0" xr:uid="{00000000-0006-0000-0000-00001A000000}">
      <text>
        <r>
          <rPr>
            <sz val="12"/>
            <color indexed="81"/>
            <rFont val="Tahoma"/>
            <family val="2"/>
          </rPr>
          <t>Dosage based on weight of must.</t>
        </r>
      </text>
    </comment>
    <comment ref="A47" authorId="0" shapeId="0" xr:uid="{00000000-0006-0000-0000-00001B000000}">
      <text>
        <r>
          <rPr>
            <sz val="12"/>
            <color indexed="81"/>
            <rFont val="Tahoma"/>
            <family val="2"/>
          </rPr>
          <t>Dosage on weight of must.</t>
        </r>
      </text>
    </comment>
    <comment ref="A48" authorId="0" shapeId="0" xr:uid="{00000000-0006-0000-0000-00001C000000}">
      <text>
        <r>
          <rPr>
            <sz val="12"/>
            <color indexed="81"/>
            <rFont val="Tahoma"/>
            <family val="2"/>
          </rPr>
          <t xml:space="preserve">Based on weight of must. 3—12 HRS
</t>
        </r>
      </text>
    </comment>
    <comment ref="G48" authorId="0" shapeId="0" xr:uid="{00000000-0006-0000-0000-00001D000000}">
      <text>
        <r>
          <rPr>
            <sz val="12"/>
            <color indexed="81"/>
            <rFont val="Tahoma"/>
            <family val="2"/>
          </rPr>
          <t>Dosage on volume of must.</t>
        </r>
      </text>
    </comment>
    <comment ref="G49" authorId="0" shapeId="0" xr:uid="{00000000-0006-0000-0000-00001E000000}">
      <text>
        <r>
          <rPr>
            <sz val="12"/>
            <color indexed="81"/>
            <rFont val="Tahoma"/>
            <family val="2"/>
          </rPr>
          <t>Dosage based on must volume.</t>
        </r>
      </text>
    </comment>
    <comment ref="A50" authorId="1" shapeId="0" xr:uid="{00000000-0006-0000-0000-00001F000000}">
      <text>
        <r>
          <rPr>
            <b/>
            <sz val="9"/>
            <color indexed="81"/>
            <rFont val="Tahoma"/>
            <family val="2"/>
          </rPr>
          <t>3—12 HRS</t>
        </r>
      </text>
    </comment>
    <comment ref="A51" authorId="0" shapeId="0" xr:uid="{00000000-0006-0000-0000-000020000000}">
      <text>
        <r>
          <rPr>
            <sz val="12"/>
            <color indexed="81"/>
            <rFont val="Tahoma"/>
            <family val="2"/>
          </rPr>
          <t>Dosage on volume of must.</t>
        </r>
      </text>
    </comment>
    <comment ref="A52" authorId="0" shapeId="0" xr:uid="{00000000-0006-0000-0000-000021000000}">
      <text>
        <r>
          <rPr>
            <sz val="12"/>
            <color indexed="81"/>
            <rFont val="Tahoma"/>
            <family val="2"/>
          </rPr>
          <t>Dosage on volume of must.</t>
        </r>
      </text>
    </comment>
    <comment ref="A53" authorId="0" shapeId="0" xr:uid="{00000000-0006-0000-0000-000022000000}">
      <text>
        <r>
          <rPr>
            <sz val="12"/>
            <color indexed="81"/>
            <rFont val="Tahoma"/>
            <family val="2"/>
          </rPr>
          <t>Dosage based on volume of must.</t>
        </r>
      </text>
    </comment>
    <comment ref="G54" authorId="0" shapeId="0" xr:uid="{00000000-0006-0000-0000-000023000000}">
      <text>
        <r>
          <rPr>
            <sz val="12"/>
            <color indexed="81"/>
            <rFont val="Tahoma"/>
            <family val="2"/>
          </rPr>
          <t xml:space="preserve">- Ve Calcium Bentonite for pH &lt;3.5  Presoaking not required. </t>
        </r>
      </text>
    </comment>
    <comment ref="A55" authorId="1" shapeId="0" xr:uid="{00000000-0006-0000-0000-000024000000}">
      <text>
        <r>
          <rPr>
            <sz val="10"/>
            <rFont val="Arial"/>
            <family val="2"/>
          </rPr>
          <t>Acti-ML into 5 times its weight in 20°C chlorine free water, wait 15 minutes before adding MLB to rehydration water.</t>
        </r>
      </text>
    </comment>
    <comment ref="G55" authorId="1" shapeId="0" xr:uid="{00000000-0006-0000-0000-000025000000}">
      <text>
        <r>
          <rPr>
            <sz val="12"/>
            <color indexed="81"/>
            <rFont val="Tahoma"/>
            <family val="2"/>
          </rPr>
          <t>- Ve Calcium—Sodium Bentonite for pH &gt;3.5 Presoaking not required.</t>
        </r>
      </text>
    </comment>
    <comment ref="A56" authorId="1" shapeId="0" xr:uid="{00000000-0006-0000-0000-000026000000}">
      <text>
        <r>
          <rPr>
            <sz val="12"/>
            <color indexed="81"/>
            <rFont val="Tahoma"/>
            <family val="2"/>
          </rPr>
          <t xml:space="preserve">Suspend in a small amount of water and add directly to must before adding ML bacteria. </t>
        </r>
        <r>
          <rPr>
            <b/>
            <sz val="12"/>
            <color indexed="81"/>
            <rFont val="Tahoma"/>
            <family val="2"/>
          </rPr>
          <t>Do Not</t>
        </r>
        <r>
          <rPr>
            <sz val="12"/>
            <color indexed="81"/>
            <rFont val="Tahoma"/>
            <family val="2"/>
          </rPr>
          <t xml:space="preserve"> add to rehydration water.</t>
        </r>
      </text>
    </comment>
    <comment ref="G56" authorId="0" shapeId="0" xr:uid="{00000000-0006-0000-0000-000027000000}">
      <text>
        <r>
          <rPr>
            <sz val="12"/>
            <color indexed="81"/>
            <rFont val="Tahoma"/>
            <family val="2"/>
          </rPr>
          <t>+ Ve Hot Mix for wine. Boil for 15 min in 250 mL water. Add warm.</t>
        </r>
      </text>
    </comment>
    <comment ref="G58" authorId="0" shapeId="0" xr:uid="{00000000-0006-0000-0000-000028000000}">
      <text>
        <r>
          <rPr>
            <sz val="12"/>
            <color indexed="81"/>
            <rFont val="Tahoma"/>
            <family val="2"/>
          </rPr>
          <t>+ Ve Silica suspension</t>
        </r>
      </text>
    </comment>
    <comment ref="G59" authorId="1" shapeId="0" xr:uid="{00000000-0006-0000-0000-000029000000}">
      <text>
        <r>
          <rPr>
            <sz val="9"/>
            <color indexed="81"/>
            <rFont val="Tahoma"/>
            <family val="2"/>
          </rPr>
          <t>ATTB limit is 0.5 g/L</t>
        </r>
      </text>
    </comment>
    <comment ref="A61" authorId="0" shapeId="0" xr:uid="{00000000-0006-0000-0000-00002A000000}">
      <text>
        <r>
          <rPr>
            <sz val="12"/>
            <color indexed="81"/>
            <rFont val="Tahoma"/>
            <family val="2"/>
          </rPr>
          <t>+ Ve Isinglass and citric acid stabilized with potassium metabisulfite. Soak for 3 hrs in water.</t>
        </r>
      </text>
    </comment>
    <comment ref="H61" authorId="1" shapeId="0" xr:uid="{00000000-0006-0000-0000-00002B000000}">
      <text>
        <r>
          <rPr>
            <sz val="9"/>
            <color indexed="81"/>
            <rFont val="Tahoma"/>
            <family val="2"/>
          </rPr>
          <t>TASTE THRESHOLD 0.130 mg/L
DO NOT USE AFTER ML FERMENT
MAINTAIN SO2 LEVELS.</t>
        </r>
      </text>
    </comment>
    <comment ref="A62" authorId="1" shapeId="0" xr:uid="{00000000-0006-0000-0000-00002C000000}">
      <text>
        <r>
          <rPr>
            <sz val="9"/>
            <color indexed="81"/>
            <rFont val="Tahoma"/>
            <family val="2"/>
          </rPr>
          <t>+ Ve</t>
        </r>
      </text>
    </comment>
    <comment ref="A63" authorId="1" shapeId="0" xr:uid="{00000000-0006-0000-0000-00002D000000}">
      <text>
        <r>
          <rPr>
            <sz val="9"/>
            <color indexed="81"/>
            <rFont val="Tahoma"/>
            <family val="2"/>
          </rPr>
          <t>ATTB Limit is 0.24 g/L</t>
        </r>
      </text>
    </comment>
    <comment ref="J70" authorId="1" shapeId="0" xr:uid="{00000000-0006-0000-0000-00002E000000}">
      <text>
        <r>
          <rPr>
            <b/>
            <sz val="9"/>
            <color indexed="81"/>
            <rFont val="Tahoma"/>
            <family val="2"/>
          </rPr>
          <t>USDA 2011 TECHNICAL PROCEDURES MANUAL</t>
        </r>
      </text>
    </comment>
    <comment ref="H74" authorId="1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1 Lb/1000 US Gal = 120 mg/L = 0.120 g/L
</t>
        </r>
      </text>
    </comment>
  </commentList>
</comments>
</file>

<file path=xl/sharedStrings.xml><?xml version="1.0" encoding="utf-8"?>
<sst xmlns="http://schemas.openxmlformats.org/spreadsheetml/2006/main" count="395" uniqueCount="320">
  <si>
    <t>MUST / YEAST NUTRIENT CALCULATIONS</t>
  </si>
  <si>
    <t>by Willem Wyngaards</t>
  </si>
  <si>
    <t xml:space="preserve">  Vineyard:—</t>
  </si>
  <si>
    <t xml:space="preserve">Nk'Mip's </t>
  </si>
  <si>
    <t xml:space="preserve">Picked:— </t>
  </si>
  <si>
    <t>Weight:—</t>
  </si>
  <si>
    <t>225 Lbs</t>
  </si>
  <si>
    <t>2022 Merlot</t>
  </si>
  <si>
    <t>D254</t>
  </si>
  <si>
    <r>
      <t xml:space="preserve">     </t>
    </r>
    <r>
      <rPr>
        <b/>
        <sz val="14"/>
        <rFont val="Arial"/>
        <family val="2"/>
      </rPr>
      <t xml:space="preserve"> NOTE:—</t>
    </r>
    <r>
      <rPr>
        <b/>
        <sz val="14"/>
        <color indexed="12"/>
        <rFont val="Arial"/>
        <family val="2"/>
      </rPr>
      <t xml:space="preserve"> </t>
    </r>
    <r>
      <rPr>
        <b/>
        <sz val="14"/>
        <color rgb="FF008A00"/>
        <rFont val="Arial"/>
        <family val="2"/>
      </rPr>
      <t xml:space="preserve"> EDIT GREEN CELLS</t>
    </r>
    <r>
      <rPr>
        <b/>
        <sz val="14"/>
        <color indexed="12"/>
        <rFont val="Arial"/>
        <family val="2"/>
      </rPr>
      <t xml:space="preserve">  — THE BLUE NUMBERS ARE CALCULATED AND LOCKED</t>
    </r>
  </si>
  <si>
    <t>PAIL VOLUME</t>
  </si>
  <si>
    <t>GRAPE WEIGHT</t>
  </si>
  <si>
    <t>PAIL I.D.</t>
  </si>
  <si>
    <r>
      <t xml:space="preserve">Pail Freeboard
</t>
    </r>
    <r>
      <rPr>
        <b/>
        <sz val="12"/>
        <rFont val="Arial"/>
        <family val="2"/>
      </rPr>
      <t>mm</t>
    </r>
  </si>
  <si>
    <t>Volume
Juice
L</t>
  </si>
  <si>
    <r>
      <t xml:space="preserve">Pail Freeboard
 </t>
    </r>
    <r>
      <rPr>
        <b/>
        <sz val="12"/>
        <rFont val="Arial"/>
        <family val="2"/>
      </rPr>
      <t>mm</t>
    </r>
  </si>
  <si>
    <t>PAIL WEIGHT
LBS</t>
  </si>
  <si>
    <t>PAIL TARE
LBS</t>
  </si>
  <si>
    <t>GRAPE
WEIGHT
LBS</t>
  </si>
  <si>
    <t>A</t>
  </si>
  <si>
    <t>B</t>
  </si>
  <si>
    <t>C</t>
  </si>
  <si>
    <t>G</t>
  </si>
  <si>
    <t>F</t>
  </si>
  <si>
    <t>TOTAL Litres</t>
  </si>
  <si>
    <t>PRESSED</t>
  </si>
  <si>
    <t>VOLUME ESTIMATE</t>
  </si>
  <si>
    <t>ACID ADJUSTMENT</t>
  </si>
  <si>
    <t>Grape</t>
  </si>
  <si>
    <r>
      <t xml:space="preserve">Grape
Weight
</t>
    </r>
    <r>
      <rPr>
        <b/>
        <sz val="12"/>
        <rFont val="Arial"/>
        <family val="2"/>
      </rPr>
      <t>lbs</t>
    </r>
  </si>
  <si>
    <r>
      <t xml:space="preserve">Juice 
Volume
Estimate
</t>
    </r>
    <r>
      <rPr>
        <b/>
        <sz val="12"/>
        <color rgb="FF060CFA"/>
        <rFont val="Arial"/>
        <family val="2"/>
      </rPr>
      <t>L</t>
    </r>
  </si>
  <si>
    <t xml:space="preserve"> °Brix</t>
  </si>
  <si>
    <r>
      <t xml:space="preserve">Potential
Alcohol
</t>
    </r>
    <r>
      <rPr>
        <b/>
        <sz val="12"/>
        <color rgb="FF060CFA"/>
        <rFont val="Arial"/>
        <family val="2"/>
      </rPr>
      <t>% ABV</t>
    </r>
  </si>
  <si>
    <r>
      <t xml:space="preserve">Number 
of Bottles
</t>
    </r>
    <r>
      <rPr>
        <b/>
        <sz val="12"/>
        <color rgb="FF060CFA"/>
        <rFont val="Arial"/>
        <family val="2"/>
      </rPr>
      <t>750 mL</t>
    </r>
  </si>
  <si>
    <r>
      <t xml:space="preserve">                   VOLUME              </t>
    </r>
    <r>
      <rPr>
        <b/>
        <sz val="12"/>
        <rFont val="Arial"/>
        <family val="2"/>
      </rPr>
      <t xml:space="preserve">L    </t>
    </r>
  </si>
  <si>
    <t xml:space="preserve"> ° BRIX</t>
  </si>
  <si>
    <t>YEAST
g/L</t>
  </si>
  <si>
    <r>
      <rPr>
        <b/>
        <sz val="10"/>
        <rFont val="Arial"/>
        <family val="2"/>
      </rPr>
      <t xml:space="preserve">                   ORIGINAL TA</t>
    </r>
    <r>
      <rPr>
        <b/>
        <sz val="12"/>
        <rFont val="Arial"/>
        <family val="2"/>
      </rPr>
      <t xml:space="preserve">   g/L</t>
    </r>
  </si>
  <si>
    <r>
      <rPr>
        <b/>
        <sz val="10"/>
        <rFont val="Arial"/>
        <family val="2"/>
      </rPr>
      <t xml:space="preserve">                   DESIRED TA</t>
    </r>
    <r>
      <rPr>
        <b/>
        <sz val="12"/>
        <rFont val="Arial"/>
        <family val="2"/>
      </rPr>
      <t xml:space="preserve">     g/L</t>
    </r>
  </si>
  <si>
    <t xml:space="preserve">                   TARTARIC ACID  g</t>
  </si>
  <si>
    <t>MUST CHAPTILIZATION CALCULATOR</t>
  </si>
  <si>
    <t xml:space="preserve">REHYDRATION CALCULATOR / MUST BLENDING </t>
  </si>
  <si>
    <r>
      <t xml:space="preserve">Juice Volume 
</t>
    </r>
    <r>
      <rPr>
        <b/>
        <sz val="12"/>
        <rFont val="Arial"/>
        <family val="2"/>
      </rPr>
      <t>L</t>
    </r>
  </si>
  <si>
    <r>
      <t>Original 
 °</t>
    </r>
    <r>
      <rPr>
        <b/>
        <sz val="11"/>
        <rFont val="Arial"/>
        <family val="2"/>
      </rPr>
      <t>Brix</t>
    </r>
  </si>
  <si>
    <r>
      <t xml:space="preserve">Desired
</t>
    </r>
    <r>
      <rPr>
        <b/>
        <sz val="11"/>
        <rFont val="Arial"/>
        <family val="2"/>
      </rPr>
      <t>Brix</t>
    </r>
  </si>
  <si>
    <r>
      <t xml:space="preserve">Sugar 
</t>
    </r>
    <r>
      <rPr>
        <b/>
        <sz val="11"/>
        <color rgb="FF060CFA"/>
        <rFont val="Arial"/>
        <family val="2"/>
      </rPr>
      <t>Kg</t>
    </r>
  </si>
  <si>
    <r>
      <t xml:space="preserve">New
</t>
    </r>
    <r>
      <rPr>
        <b/>
        <sz val="12"/>
        <color rgb="FF060CFA"/>
        <rFont val="Arial"/>
        <family val="2"/>
      </rPr>
      <t>Volume</t>
    </r>
  </si>
  <si>
    <t>Volume 
L</t>
  </si>
  <si>
    <t>°Brix</t>
  </si>
  <si>
    <t>TA 
g/L</t>
  </si>
  <si>
    <t>pH</t>
  </si>
  <si>
    <t>YAN 
mgN/L</t>
  </si>
  <si>
    <t xml:space="preserve">Juice  </t>
  </si>
  <si>
    <t xml:space="preserve">Water </t>
  </si>
  <si>
    <r>
      <rPr>
        <b/>
        <sz val="11"/>
        <rFont val="Arial"/>
        <family val="2"/>
      </rPr>
      <t>Lbs</t>
    </r>
    <r>
      <rPr>
        <b/>
        <sz val="10"/>
        <rFont val="Arial"/>
        <family val="2"/>
      </rPr>
      <t xml:space="preserve">
Juice Weight</t>
    </r>
  </si>
  <si>
    <r>
      <rPr>
        <b/>
        <sz val="11"/>
        <rFont val="Arial"/>
        <family val="2"/>
      </rPr>
      <t>Brix</t>
    </r>
    <r>
      <rPr>
        <b/>
        <sz val="10"/>
        <rFont val="Arial"/>
        <family val="2"/>
      </rPr>
      <t xml:space="preserve">
Original</t>
    </r>
  </si>
  <si>
    <r>
      <rPr>
        <b/>
        <sz val="11"/>
        <rFont val="Arial"/>
        <family val="2"/>
      </rPr>
      <t>Brix</t>
    </r>
    <r>
      <rPr>
        <b/>
        <sz val="10"/>
        <rFont val="Arial"/>
        <family val="2"/>
      </rPr>
      <t xml:space="preserve">
Desired</t>
    </r>
  </si>
  <si>
    <r>
      <rPr>
        <b/>
        <sz val="11"/>
        <color rgb="FF060CFA"/>
        <rFont val="Arial"/>
        <family val="2"/>
      </rPr>
      <t>Lbs</t>
    </r>
    <r>
      <rPr>
        <b/>
        <sz val="10"/>
        <color rgb="FF060CFA"/>
        <rFont val="Arial"/>
        <family val="2"/>
      </rPr>
      <t xml:space="preserve">
Sugar</t>
    </r>
  </si>
  <si>
    <t xml:space="preserve">Final  </t>
  </si>
  <si>
    <t>NUTRIENT and YEAST CALCULATIONS</t>
  </si>
  <si>
    <t xml:space="preserve"> </t>
  </si>
  <si>
    <t xml:space="preserve">        FERMAID K, FERMAID O, FERMAX DISTRIBUTION</t>
  </si>
  <si>
    <t xml:space="preserve">°Brix </t>
  </si>
  <si>
    <t>Volume  L</t>
  </si>
  <si>
    <t>START
UP</t>
  </si>
  <si>
    <t>2 ND</t>
  </si>
  <si>
    <t>3 RD</t>
  </si>
  <si>
    <t>1/3 °Brix
Drop</t>
  </si>
  <si>
    <t>TOTALS</t>
  </si>
  <si>
    <t xml:space="preserve">YEAST
STRAIN </t>
  </si>
  <si>
    <t>YAN SUPPLIED
BY GRAPE</t>
  </si>
  <si>
    <r>
      <t xml:space="preserve">Target YAN
</t>
    </r>
    <r>
      <rPr>
        <b/>
        <sz val="11"/>
        <color rgb="FF060CFA"/>
        <rFont val="Arial"/>
        <family val="2"/>
      </rPr>
      <t>mgN/L</t>
    </r>
  </si>
  <si>
    <t>YAN
DEFICIENCY</t>
  </si>
  <si>
    <r>
      <rPr>
        <b/>
        <sz val="12"/>
        <rFont val="Arial"/>
        <family val="2"/>
      </rPr>
      <t>%</t>
    </r>
    <r>
      <rPr>
        <b/>
        <sz val="11"/>
        <rFont val="Arial"/>
        <family val="2"/>
      </rPr>
      <t xml:space="preserve"> SPLITS</t>
    </r>
  </si>
  <si>
    <r>
      <t xml:space="preserve">Fermaid K </t>
    </r>
    <r>
      <rPr>
        <b/>
        <sz val="11"/>
        <color rgb="FF060CFA"/>
        <rFont val="Arial"/>
        <family val="2"/>
      </rPr>
      <t>(g)</t>
    </r>
  </si>
  <si>
    <t>Nitrogen
 Source</t>
  </si>
  <si>
    <r>
      <t xml:space="preserve">Trial Addition
</t>
    </r>
    <r>
      <rPr>
        <b/>
        <sz val="11"/>
        <rFont val="Arial"/>
        <family val="2"/>
      </rPr>
      <t>g/L</t>
    </r>
  </si>
  <si>
    <r>
      <t xml:space="preserve">YAN
Yields
</t>
    </r>
    <r>
      <rPr>
        <b/>
        <sz val="11"/>
        <color rgb="FF060CFA"/>
        <rFont val="Arial"/>
        <family val="2"/>
      </rPr>
      <t>mgN/L</t>
    </r>
  </si>
  <si>
    <r>
      <rPr>
        <b/>
        <sz val="11"/>
        <color rgb="FF060CFA"/>
        <rFont val="Arial"/>
        <family val="2"/>
      </rPr>
      <t>Grams</t>
    </r>
    <r>
      <rPr>
        <b/>
        <sz val="10"/>
        <color rgb="FF060CFA"/>
        <rFont val="Arial"/>
        <family val="2"/>
      </rPr>
      <t xml:space="preserve">
for Total
Volume</t>
    </r>
  </si>
  <si>
    <r>
      <t xml:space="preserve">Fermaid O </t>
    </r>
    <r>
      <rPr>
        <b/>
        <sz val="11"/>
        <color rgb="FF060CFA"/>
        <rFont val="Arial"/>
        <family val="2"/>
      </rPr>
      <t>(g)</t>
    </r>
  </si>
  <si>
    <r>
      <t xml:space="preserve">Fermax </t>
    </r>
    <r>
      <rPr>
        <b/>
        <sz val="11"/>
        <color rgb="FF060CFA"/>
        <rFont val="Arial"/>
        <family val="2"/>
      </rPr>
      <t>(g)</t>
    </r>
  </si>
  <si>
    <t xml:space="preserve">  Yeast</t>
  </si>
  <si>
    <t>~</t>
  </si>
  <si>
    <r>
      <t xml:space="preserve">CUMULATIVE </t>
    </r>
    <r>
      <rPr>
        <b/>
        <sz val="11"/>
        <color rgb="FF060CFA"/>
        <rFont val="Arial"/>
        <family val="2"/>
      </rPr>
      <t>mgN/L</t>
    </r>
  </si>
  <si>
    <t xml:space="preserve">  GoFerm</t>
  </si>
  <si>
    <t xml:space="preserve">  Fermaid K</t>
  </si>
  <si>
    <t>DAP DISTRIBUTION</t>
  </si>
  <si>
    <t xml:space="preserve">  Fermaid O</t>
  </si>
  <si>
    <t xml:space="preserve">  Fermax</t>
  </si>
  <si>
    <r>
      <t xml:space="preserve">DAP </t>
    </r>
    <r>
      <rPr>
        <b/>
        <sz val="11"/>
        <color rgb="FF060CFA"/>
        <rFont val="Arial"/>
        <family val="2"/>
      </rPr>
      <t>(g)</t>
    </r>
  </si>
  <si>
    <r>
      <t xml:space="preserve">DAP CUMULATIVE   </t>
    </r>
    <r>
      <rPr>
        <b/>
        <sz val="11"/>
        <color rgb="FF060CFA"/>
        <rFont val="Arial"/>
        <family val="2"/>
      </rPr>
      <t>mgN/L</t>
    </r>
  </si>
  <si>
    <t xml:space="preserve">Target </t>
  </si>
  <si>
    <t xml:space="preserve">  DAP</t>
  </si>
  <si>
    <r>
      <t xml:space="preserve">DAP Plus ORGANIC  </t>
    </r>
    <r>
      <rPr>
        <b/>
        <sz val="11"/>
        <color rgb="FF060CFA"/>
        <rFont val="Arial"/>
        <family val="2"/>
      </rPr>
      <t>mgN/L</t>
    </r>
  </si>
  <si>
    <t>° Brix of Must</t>
  </si>
  <si>
    <t>YAN Level</t>
  </si>
  <si>
    <t xml:space="preserve"> YAN Target Level = (Brix° X 7.5 mgN/L)</t>
  </si>
  <si>
    <t>TOTAL NUTRIENTS ADDED (mgN/L)</t>
  </si>
  <si>
    <t>THIS VALUE SHOULD EQUAL VALUE IN CELL D30</t>
  </si>
  <si>
    <t>ADJUNCTS TABLE</t>
  </si>
  <si>
    <t>Ingredient</t>
  </si>
  <si>
    <t>Recommended
Dosage</t>
  </si>
  <si>
    <t>USE</t>
  </si>
  <si>
    <t>Amount to
Add
Grams or mL</t>
  </si>
  <si>
    <t xml:space="preserve">ENTER 
</t>
  </si>
  <si>
    <t>Recommended Dosage</t>
  </si>
  <si>
    <t xml:space="preserve">  KMBS at crush</t>
  </si>
  <si>
    <t>0.015 g/lb</t>
  </si>
  <si>
    <t>VOLUME in Litres</t>
  </si>
  <si>
    <t>Whites</t>
  </si>
  <si>
    <t>Reds</t>
  </si>
  <si>
    <t xml:space="preserve">  Lallzyme EX V</t>
  </si>
  <si>
    <t>0.005–0.01 g/lb</t>
  </si>
  <si>
    <t xml:space="preserve"> Color Pro</t>
  </si>
  <si>
    <t>0.0075–0.015 mL/lb</t>
  </si>
  <si>
    <t>0.03—0.05 mL/lb</t>
  </si>
  <si>
    <t xml:space="preserve">  Lallzyme EX</t>
  </si>
  <si>
    <t>0.0075–0.015 g/lb</t>
  </si>
  <si>
    <t>WEIGHT in Pounds</t>
  </si>
  <si>
    <t xml:space="preserve"> Scottzyme KS</t>
  </si>
  <si>
    <t>0.026–0.04 mL/L</t>
  </si>
  <si>
    <t>0.05—0.08 mL</t>
  </si>
  <si>
    <t xml:space="preserve">  Cuvée Blanc</t>
  </si>
  <si>
    <t>0.033–0.055 g/Lb</t>
  </si>
  <si>
    <t xml:space="preserve"> VR Supra</t>
  </si>
  <si>
    <t>0.30—0.50 g/L</t>
  </si>
  <si>
    <t xml:space="preserve">  Cinn–Free</t>
  </si>
  <si>
    <t>0.0075—0.015 mL/lb</t>
  </si>
  <si>
    <t xml:space="preserve"> FT Blanc Soft</t>
  </si>
  <si>
    <t>0.05—0.15 g/L</t>
  </si>
  <si>
    <t>0.05–0.30 g/L</t>
  </si>
  <si>
    <t xml:space="preserve">  C–MAX</t>
  </si>
  <si>
    <t>0.005–0.02 g/L</t>
  </si>
  <si>
    <t xml:space="preserve"> Tannin Riche</t>
  </si>
  <si>
    <t>0.03—0.07 g/L</t>
  </si>
  <si>
    <t>0.03—0.20 g/L</t>
  </si>
  <si>
    <t xml:space="preserve">  FT Rouge</t>
  </si>
  <si>
    <t>0.20—0.50 g/L</t>
  </si>
  <si>
    <t xml:space="preserve"> Booster Blanc</t>
  </si>
  <si>
    <t>0.30—0.40 g/L</t>
  </si>
  <si>
    <t xml:space="preserve">  Opti Red</t>
  </si>
  <si>
    <t>0.114—0.30 g/L</t>
  </si>
  <si>
    <t xml:space="preserve"> Tannin Riche Extra</t>
  </si>
  <si>
    <t>0.05—0.10 g/L</t>
  </si>
  <si>
    <t>0.05—0.20 g/L</t>
  </si>
  <si>
    <t xml:space="preserve">  Booster Rouge</t>
  </si>
  <si>
    <t xml:space="preserve"> Bentonite</t>
  </si>
  <si>
    <t>0.20 g/L</t>
  </si>
  <si>
    <t>0.50 g/L</t>
  </si>
  <si>
    <t xml:space="preserve">  Opti White</t>
  </si>
  <si>
    <t>0.25—0.50 g/L</t>
  </si>
  <si>
    <t xml:space="preserve"> Albumex Bentonite</t>
  </si>
  <si>
    <t>1.0—3.0 g/L</t>
  </si>
  <si>
    <t xml:space="preserve">  Acti-Malo</t>
  </si>
  <si>
    <t xml:space="preserve"> Canaton Bentonite</t>
  </si>
  <si>
    <t xml:space="preserve">  Opti'Malo</t>
  </si>
  <si>
    <t xml:space="preserve"> Sparkalloid</t>
  </si>
  <si>
    <t>0.12—0.48 g/L</t>
  </si>
  <si>
    <t xml:space="preserve">  Noblesse</t>
  </si>
  <si>
    <t>0.10—0.30 g/L</t>
  </si>
  <si>
    <t xml:space="preserve"> Colle Perle</t>
  </si>
  <si>
    <t>0.80–1.50 g/L</t>
  </si>
  <si>
    <t xml:space="preserve">  Reduless</t>
  </si>
  <si>
    <t>0.10—0.15 g/L</t>
  </si>
  <si>
    <t xml:space="preserve"> Gelocolle</t>
  </si>
  <si>
    <t>0.2–1.0 g/L</t>
  </si>
  <si>
    <t>Additional yeasts may be added by editing the Lookup table by inserting new rows,</t>
  </si>
  <si>
    <t xml:space="preserve">  Kupzit</t>
  </si>
  <si>
    <t xml:space="preserve"> Lysozyme</t>
  </si>
  <si>
    <t xml:space="preserve"> also the multiplier may be edited to your preference. BUT the table must be sorted by the 1st column in ascending order.</t>
  </si>
  <si>
    <t xml:space="preserve">  AR2000</t>
  </si>
  <si>
    <t>0.02—0.05 g/L</t>
  </si>
  <si>
    <t xml:space="preserve"> Polycacel</t>
  </si>
  <si>
    <t>0.15—0.70g/L</t>
  </si>
  <si>
    <t xml:space="preserve"> Enter new yeast in the middle of the column and re-sort the table.</t>
  </si>
  <si>
    <t xml:space="preserve">  Cristalline Plus</t>
  </si>
  <si>
    <t>0.015—0.03 g/L</t>
  </si>
  <si>
    <t xml:space="preserve"> Potassium Sorbate</t>
  </si>
  <si>
    <t xml:space="preserve">Enter % Alcohol  </t>
  </si>
  <si>
    <t xml:space="preserve"> Right click on A30 and choose Format Control  to edit. </t>
  </si>
  <si>
    <t xml:space="preserve">  Gelatin</t>
  </si>
  <si>
    <t>0.05—0.09 g/L</t>
  </si>
  <si>
    <t xml:space="preserve"> Sur–Lie</t>
  </si>
  <si>
    <t>0.30—0.70 g/L</t>
  </si>
  <si>
    <t xml:space="preserve">  Gum Arabic</t>
  </si>
  <si>
    <t>0.2–1.0 mL/L</t>
  </si>
  <si>
    <t xml:space="preserve"> Leucofood</t>
  </si>
  <si>
    <t>0.04—0.05 g/L</t>
  </si>
  <si>
    <t>Yeast_Table</t>
  </si>
  <si>
    <t>SULPHITE CALCULATION</t>
  </si>
  <si>
    <t xml:space="preserve">                   REFRACTOMER
                  ALCOHOL CORRECTION</t>
  </si>
  <si>
    <t>CONVERT</t>
  </si>
  <si>
    <t>YEAST MULTIPLIERS</t>
  </si>
  <si>
    <t>Scott
Lab</t>
  </si>
  <si>
    <t xml:space="preserve">pH </t>
  </si>
  <si>
    <t>CELSIUS</t>
  </si>
  <si>
    <t>FAHRENHEIT</t>
  </si>
  <si>
    <t xml:space="preserve">Alcohol </t>
  </si>
  <si>
    <t xml:space="preserve">                    Starting     °Brix </t>
  </si>
  <si>
    <t>Low</t>
  </si>
  <si>
    <t xml:space="preserve">Temp °C </t>
  </si>
  <si>
    <t xml:space="preserve">                    Observed °Brix </t>
  </si>
  <si>
    <t>LITRES</t>
  </si>
  <si>
    <t>US GALLONS</t>
  </si>
  <si>
    <t>Med</t>
  </si>
  <si>
    <t xml:space="preserve">Red means data by:— J.M.Sablayrolles INRA-IPV, Montpellier, France, </t>
  </si>
  <si>
    <r>
      <t>Molecular SO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 </t>
    </r>
  </si>
  <si>
    <t xml:space="preserve">                  Adjusted   °Brix </t>
  </si>
  <si>
    <t xml:space="preserve">Volume (L) </t>
  </si>
  <si>
    <t xml:space="preserve">                    Calculated   SG </t>
  </si>
  <si>
    <t>S.G.</t>
  </si>
  <si>
    <t>° BRIX</t>
  </si>
  <si>
    <t>58W3</t>
  </si>
  <si>
    <r>
      <t xml:space="preserve">                    FSO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ppm (Initial)     </t>
    </r>
  </si>
  <si>
    <t xml:space="preserve">        Estimate     ABV</t>
  </si>
  <si>
    <t>71B</t>
  </si>
  <si>
    <t xml:space="preserve">Scott Lab descriptor of Low, Med, High, Nitrogen needs were assigned multiplier values </t>
  </si>
  <si>
    <t xml:space="preserve">                    Percent Lost to Binding</t>
  </si>
  <si>
    <t>AMH</t>
  </si>
  <si>
    <t>.i.e. EC 1118, K1 V1116, are rated Low by Scott Lab and was tested at 1.20, 1.30 by Sablayrolles.</t>
  </si>
  <si>
    <r>
      <t xml:space="preserve">                    FSO</t>
    </r>
    <r>
      <rPr>
        <b/>
        <vertAlign val="subscript"/>
        <sz val="12"/>
        <color rgb="FF002570"/>
        <rFont val="Arial"/>
        <family val="2"/>
      </rPr>
      <t>2</t>
    </r>
    <r>
      <rPr>
        <b/>
        <sz val="12"/>
        <color rgb="FF002570"/>
        <rFont val="Arial"/>
        <family val="2"/>
      </rPr>
      <t xml:space="preserve"> ppm (Target) </t>
    </r>
  </si>
  <si>
    <t>BENCH TRIALS CALCULATOR</t>
  </si>
  <si>
    <t>Ba11</t>
  </si>
  <si>
    <t>High</t>
  </si>
  <si>
    <t>BM 4X4 tested at 1.80. respectively by J.M. Sablayrolles.</t>
  </si>
  <si>
    <t xml:space="preserve">                    GRAMS of KMBS </t>
  </si>
  <si>
    <t xml:space="preserve">TARGET DOSAGE in ppm     (mg/L)  </t>
  </si>
  <si>
    <t>g/L</t>
  </si>
  <si>
    <t>BDX</t>
  </si>
  <si>
    <t xml:space="preserve">                    10 % KMBS (mL)</t>
  </si>
  <si>
    <t xml:space="preserve">SAMPLE VOLUME                     (mL)  </t>
  </si>
  <si>
    <t>BM 4X4</t>
  </si>
  <si>
    <t xml:space="preserve">   STOCK CONCENTRATION       (%)  </t>
  </si>
  <si>
    <t>BM45</t>
  </si>
  <si>
    <t xml:space="preserve">      Red Table       Min Molecular</t>
  </si>
  <si>
    <r>
      <t>0.5 MSO</t>
    </r>
    <r>
      <rPr>
        <b/>
        <vertAlign val="subscript"/>
        <sz val="12"/>
        <color theme="1"/>
        <rFont val="Arial"/>
        <family val="2"/>
      </rPr>
      <t>2</t>
    </r>
  </si>
  <si>
    <t xml:space="preserve">VOLUME STOCK SOLUTION  (mL)  </t>
  </si>
  <si>
    <t>Clos</t>
  </si>
  <si>
    <t>Ratings are adjusted to Scott Lab 2020 Fermentation Handbook</t>
  </si>
  <si>
    <t xml:space="preserve">     White Table    Max Molecular</t>
  </si>
  <si>
    <r>
      <t>0.8 MSO</t>
    </r>
    <r>
      <rPr>
        <b/>
        <vertAlign val="subscript"/>
        <sz val="12"/>
        <color theme="1"/>
        <rFont val="Arial"/>
        <family val="2"/>
      </rPr>
      <t>2</t>
    </r>
  </si>
  <si>
    <t>CY 3079</t>
  </si>
  <si>
    <t>Scott Lab low rating is assigned a value of 7.5 mgN/L x °Brix =1</t>
  </si>
  <si>
    <t>D21</t>
  </si>
  <si>
    <t>Scott Lab medium rating is assigned a value of 9 mgN/L x °Brix.  Multiplier 9/7.5=1.2</t>
  </si>
  <si>
    <t>WINE FREEZING TEMP</t>
  </si>
  <si>
    <t>Scott Lab high rating is assigned a value of 12.5 mgN/L x °Brix. Multiplier is 12.5/7.5=1.67</t>
  </si>
  <si>
    <t>% Alcohol</t>
  </si>
  <si>
    <t>°C Air
 Temperature</t>
  </si>
  <si>
    <t>D47</t>
  </si>
  <si>
    <t>D80</t>
  </si>
  <si>
    <t>DV10</t>
  </si>
  <si>
    <t>EC 1118</t>
  </si>
  <si>
    <t>DATE</t>
  </si>
  <si>
    <t>TIME</t>
  </si>
  <si>
    <t>BRIX</t>
  </si>
  <si>
    <t>TEMP</t>
  </si>
  <si>
    <t>NOTES</t>
  </si>
  <si>
    <t>ES 454</t>
  </si>
  <si>
    <t>GRE</t>
  </si>
  <si>
    <t>K1 V1116</t>
  </si>
  <si>
    <t>L2056</t>
  </si>
  <si>
    <t>MT</t>
  </si>
  <si>
    <t>Opal</t>
  </si>
  <si>
    <t>QA23</t>
  </si>
  <si>
    <t>R2</t>
  </si>
  <si>
    <t>RBS 133</t>
  </si>
  <si>
    <t>RC212</t>
  </si>
  <si>
    <t>R–HST</t>
  </si>
  <si>
    <t>RP15</t>
  </si>
  <si>
    <t>Syrah</t>
  </si>
  <si>
    <t>T306</t>
  </si>
  <si>
    <t>VL1</t>
  </si>
  <si>
    <t>VL3</t>
  </si>
  <si>
    <t>Vin13</t>
  </si>
  <si>
    <t>VMR</t>
  </si>
  <si>
    <t>W15</t>
  </si>
  <si>
    <t>ADT–36</t>
  </si>
  <si>
    <t>Low-mod</t>
  </si>
  <si>
    <t>Renaissance Yeast</t>
  </si>
  <si>
    <t>AL–48</t>
  </si>
  <si>
    <t>Mod</t>
  </si>
  <si>
    <t>BEL–93</t>
  </si>
  <si>
    <t>BRO–58</t>
  </si>
  <si>
    <t>BV–33</t>
  </si>
  <si>
    <t>MTS–29</t>
  </si>
  <si>
    <t>TR–313</t>
  </si>
  <si>
    <t>VIC–23</t>
  </si>
  <si>
    <t>Grape_Yield</t>
  </si>
  <si>
    <t>GRAPE</t>
  </si>
  <si>
    <t>JUICE L/ Lb</t>
  </si>
  <si>
    <t>Bordeaux</t>
  </si>
  <si>
    <t>Mediterranean</t>
  </si>
  <si>
    <t>White Grapes</t>
  </si>
  <si>
    <t>Cab Sauvignon</t>
  </si>
  <si>
    <t>2016 crush</t>
  </si>
  <si>
    <t>Chardonnay</t>
  </si>
  <si>
    <t>2021 crush</t>
  </si>
  <si>
    <t>Gewürztraminer</t>
  </si>
  <si>
    <t>Grenache</t>
  </si>
  <si>
    <t xml:space="preserve">   Nutrient and yeast data was obtained from "2021 Scott Laboratories Handbook".  Scott Labs issues a new handbook in PDF format each year. More information can be found at Scott Laboratories website:– www.scottlaboratories.com</t>
  </si>
  <si>
    <t>Cab Franc</t>
  </si>
  <si>
    <t>2015 crush</t>
  </si>
  <si>
    <t>Merlot</t>
  </si>
  <si>
    <t>2022 crush</t>
  </si>
  <si>
    <t>Petit Sirah</t>
  </si>
  <si>
    <t>Pinot Gris</t>
  </si>
  <si>
    <t>Pinot Noir</t>
  </si>
  <si>
    <t>Riesling</t>
  </si>
  <si>
    <t>Sauv Blanc</t>
  </si>
  <si>
    <t>2018 crush</t>
  </si>
  <si>
    <t>2014 crush</t>
  </si>
  <si>
    <t>Viognier</t>
  </si>
  <si>
    <t>Zinfandel</t>
  </si>
  <si>
    <t>Destemmed TOTAL Weight</t>
  </si>
  <si>
    <t>MUST TOTAL Litres</t>
  </si>
  <si>
    <t>Brix:</t>
  </si>
  <si>
    <t>Ph:</t>
  </si>
  <si>
    <t>Yeast: D254</t>
  </si>
  <si>
    <t xml:space="preserve">Ta: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</si>
</sst>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[$-1009]d\-mmm\-yy;@"/>
    <numFmt numFmtId="165" formatCode="0.0"/>
    <numFmt numFmtId="166" formatCode="0.000"/>
    <numFmt numFmtId="167" formatCode="0.0000"/>
    <numFmt numFmtId="168" formatCode="0.0%"/>
    <numFmt numFmtId="169" formatCode="_(* #,##0.00_);_(* \(#,##0.00\);_(* &quot;-&quot;??_);_(@_)"/>
  </numFmts>
  <fonts count="57" x14ac:knownFonts="1">
    <font>
      <sz val="10"/>
      <name val="Arial"/>
      <family val="2"/>
    </font>
    <font>
      <sz val="11"/>
      <color theme="1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Arial Narrow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b/>
      <sz val="14"/>
      <color rgb="FF008A00"/>
      <name val="Arial"/>
      <family val="2"/>
    </font>
    <font>
      <b/>
      <sz val="10"/>
      <name val="Arial"/>
      <family val="2"/>
    </font>
    <font>
      <b/>
      <sz val="10"/>
      <color rgb="FF060CFA"/>
      <name val="Arial"/>
      <family val="2"/>
    </font>
    <font>
      <b/>
      <sz val="11"/>
      <name val="Arial"/>
      <family val="2"/>
    </font>
    <font>
      <b/>
      <sz val="12"/>
      <color rgb="FF060CFA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Verdana"/>
      <family val="2"/>
    </font>
    <font>
      <b/>
      <sz val="11"/>
      <color rgb="FF060CFA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1"/>
      <color rgb="FF0000FF"/>
      <name val="Arial"/>
      <family val="2"/>
    </font>
    <font>
      <b/>
      <sz val="12"/>
      <color rgb="FFC00000"/>
      <name val="Arial"/>
      <family val="2"/>
    </font>
    <font>
      <b/>
      <sz val="12"/>
      <color theme="3" tint="0.39994506668294322"/>
      <name val="Arial"/>
      <family val="2"/>
    </font>
    <font>
      <b/>
      <sz val="11"/>
      <color indexed="12"/>
      <name val="Arial"/>
      <family val="2"/>
    </font>
    <font>
      <sz val="10"/>
      <color rgb="FF060CFA"/>
      <name val="Arial"/>
      <family val="2"/>
    </font>
    <font>
      <b/>
      <sz val="18"/>
      <color rgb="FF060CFA"/>
      <name val="Arial"/>
      <family val="2"/>
    </font>
    <font>
      <sz val="10"/>
      <color theme="3"/>
      <name val="Arial"/>
      <family val="2"/>
    </font>
    <font>
      <b/>
      <sz val="9"/>
      <color rgb="FFC00000"/>
      <name val="Arial"/>
      <family val="2"/>
    </font>
    <font>
      <sz val="10"/>
      <color rgb="FF002060"/>
      <name val="Arial"/>
      <family val="2"/>
    </font>
    <font>
      <b/>
      <sz val="10"/>
      <color theme="6" tint="-0.24994659260841701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9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2"/>
      <name val="Tahoma"/>
      <family val="2"/>
    </font>
    <font>
      <sz val="10"/>
      <name val="Tahoma"/>
      <family val="2"/>
    </font>
    <font>
      <sz val="10"/>
      <color rgb="FFFF0000"/>
      <name val="Arial"/>
      <family val="2"/>
    </font>
    <font>
      <b/>
      <vertAlign val="subscript"/>
      <sz val="12"/>
      <name val="Arial"/>
      <family val="2"/>
    </font>
    <font>
      <sz val="10"/>
      <color rgb="FF060CFA"/>
      <name val="Tahoma"/>
      <family val="2"/>
    </font>
    <font>
      <b/>
      <vertAlign val="subscript"/>
      <sz val="12"/>
      <color rgb="FF002570"/>
      <name val="Arial"/>
      <family val="2"/>
    </font>
    <font>
      <b/>
      <sz val="12"/>
      <color rgb="FF002570"/>
      <name val="Arial"/>
      <family val="2"/>
    </font>
    <font>
      <sz val="11"/>
      <name val="Verdana"/>
      <family val="2"/>
    </font>
    <font>
      <b/>
      <sz val="12"/>
      <color theme="1"/>
      <name val="Arial"/>
      <family val="2"/>
    </font>
    <font>
      <b/>
      <vertAlign val="subscript"/>
      <sz val="12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vertAlign val="subscript"/>
      <sz val="12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5FFEB"/>
        <bgColor indexed="64"/>
      </patternFill>
    </fill>
    <fill>
      <patternFill patternType="solid">
        <fgColor rgb="FFF1FDE7"/>
        <bgColor indexed="64"/>
      </patternFill>
    </fill>
    <fill>
      <patternFill patternType="solid">
        <fgColor theme="6" tint="0.79998168889431442"/>
        <bgColor indexed="64"/>
      </patternFill>
    </fill>
  </fills>
  <borders count="1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rgb="FF002060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medium">
        <color indexed="64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009900"/>
      </left>
      <right style="thick">
        <color rgb="FF009900"/>
      </right>
      <top style="thick">
        <color rgb="FF009900"/>
      </top>
      <bottom style="thick">
        <color rgb="FF009900"/>
      </bottom>
      <diagonal/>
    </border>
    <border>
      <left/>
      <right style="thin">
        <color rgb="FF002060"/>
      </right>
      <top/>
      <bottom style="medium">
        <color indexed="64"/>
      </bottom>
      <diagonal/>
    </border>
    <border>
      <left style="thin">
        <color rgb="FF002060"/>
      </left>
      <right style="thin">
        <color rgb="FF00206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hair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ck">
        <color rgb="FFC00000"/>
      </bottom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 style="medium">
        <color auto="1"/>
      </right>
      <top style="thick">
        <color rgb="FFC00000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C00000"/>
      </right>
      <top/>
      <bottom style="thin">
        <color indexed="64"/>
      </bottom>
      <diagonal/>
    </border>
    <border>
      <left style="thick">
        <color rgb="FFC00000"/>
      </left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indexed="64"/>
      </bottom>
      <diagonal/>
    </border>
    <border>
      <left/>
      <right style="thick">
        <color rgb="FFC00000"/>
      </right>
      <top/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rgb="FFC00000"/>
      </right>
      <top style="double">
        <color auto="1"/>
      </top>
      <bottom style="thick">
        <color rgb="FFC00000"/>
      </bottom>
      <diagonal/>
    </border>
    <border>
      <left/>
      <right/>
      <top style="thick">
        <color rgb="FFC00000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rgb="FF002060"/>
      </left>
      <right style="medium">
        <color rgb="FF002060"/>
      </right>
      <top style="thin">
        <color indexed="64"/>
      </top>
      <bottom style="thin">
        <color rgb="FF002060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rgb="FF002060"/>
      </left>
      <right style="medium">
        <color rgb="FF002060"/>
      </right>
      <top/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rgb="FF00206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2060"/>
      </left>
      <right style="thin">
        <color rgb="FF002060"/>
      </right>
      <top style="thin">
        <color indexed="64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indexed="64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64"/>
      </right>
      <top style="thin">
        <color indexed="56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14" fillId="0" borderId="0"/>
    <xf numFmtId="44" fontId="14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4" fillId="0" borderId="0" applyNumberFormat="0" applyFill="0" applyBorder="0" applyProtection="0"/>
  </cellStyleXfs>
  <cellXfs count="43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165" fontId="13" fillId="0" borderId="11" xfId="0" applyNumberFormat="1" applyFont="1" applyBorder="1" applyAlignment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165" fontId="13" fillId="0" borderId="13" xfId="0" applyNumberFormat="1" applyFont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165" fontId="13" fillId="0" borderId="15" xfId="0" applyNumberFormat="1" applyFont="1" applyBorder="1" applyAlignment="1">
      <alignment horizontal="center" vertical="center"/>
    </xf>
    <xf numFmtId="0" fontId="12" fillId="2" borderId="9" xfId="0" applyFont="1" applyFill="1" applyBorder="1" applyAlignment="1" applyProtection="1">
      <alignment horizontal="center"/>
      <protection locked="0"/>
    </xf>
    <xf numFmtId="0" fontId="12" fillId="2" borderId="12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/>
      <protection locked="0"/>
    </xf>
    <xf numFmtId="1" fontId="4" fillId="2" borderId="17" xfId="0" applyNumberFormat="1" applyFont="1" applyFill="1" applyBorder="1" applyAlignment="1" applyProtection="1">
      <alignment horizontal="center" vertical="center"/>
      <protection locked="0"/>
    </xf>
    <xf numFmtId="2" fontId="4" fillId="2" borderId="18" xfId="0" applyNumberFormat="1" applyFont="1" applyFill="1" applyBorder="1" applyAlignment="1" applyProtection="1">
      <alignment horizontal="center" vertical="center"/>
      <protection locked="0"/>
    </xf>
    <xf numFmtId="2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165" fontId="13" fillId="0" borderId="1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5" fillId="0" borderId="0" xfId="1" applyFont="1" applyAlignment="1">
      <alignment vertical="center"/>
    </xf>
    <xf numFmtId="165" fontId="16" fillId="2" borderId="10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/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2" fontId="16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27" xfId="0" applyFont="1" applyBorder="1"/>
    <xf numFmtId="166" fontId="0" fillId="0" borderId="27" xfId="0" applyNumberFormat="1" applyBorder="1"/>
    <xf numFmtId="2" fontId="16" fillId="2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Border="1"/>
    <xf numFmtId="166" fontId="0" fillId="0" borderId="25" xfId="0" applyNumberFormat="1" applyBorder="1"/>
    <xf numFmtId="0" fontId="16" fillId="0" borderId="29" xfId="0" applyFont="1" applyBorder="1" applyAlignment="1" applyProtection="1">
      <alignment horizontal="right"/>
      <protection locked="0"/>
    </xf>
    <xf numFmtId="165" fontId="13" fillId="0" borderId="31" xfId="0" applyNumberFormat="1" applyFont="1" applyBorder="1" applyAlignment="1">
      <alignment horizontal="center" vertical="center"/>
    </xf>
    <xf numFmtId="165" fontId="4" fillId="2" borderId="32" xfId="0" applyNumberFormat="1" applyFont="1" applyFill="1" applyBorder="1" applyAlignment="1" applyProtection="1">
      <alignment horizontal="center" vertical="center"/>
      <protection locked="0"/>
    </xf>
    <xf numFmtId="165" fontId="13" fillId="0" borderId="33" xfId="0" applyNumberFormat="1" applyFont="1" applyBorder="1" applyAlignment="1">
      <alignment horizontal="center" vertical="center"/>
    </xf>
    <xf numFmtId="1" fontId="13" fillId="0" borderId="34" xfId="0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0" fontId="2" fillId="0" borderId="25" xfId="0" applyFont="1" applyBorder="1"/>
    <xf numFmtId="166" fontId="2" fillId="0" borderId="25" xfId="0" applyNumberFormat="1" applyFont="1" applyBorder="1"/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 applyProtection="1">
      <alignment horizontal="center" vertical="center"/>
      <protection locked="0"/>
    </xf>
    <xf numFmtId="165" fontId="18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3" xfId="0" applyBorder="1"/>
    <xf numFmtId="166" fontId="2" fillId="0" borderId="3" xfId="0" applyNumberFormat="1" applyFont="1" applyBorder="1"/>
    <xf numFmtId="0" fontId="19" fillId="0" borderId="0" xfId="0" applyFont="1"/>
    <xf numFmtId="0" fontId="2" fillId="0" borderId="0" xfId="0" applyFont="1"/>
    <xf numFmtId="0" fontId="11" fillId="0" borderId="21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165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165" fontId="4" fillId="2" borderId="17" xfId="0" applyNumberFormat="1" applyFont="1" applyFill="1" applyBorder="1" applyAlignment="1" applyProtection="1">
      <alignment horizontal="center" vertical="center"/>
      <protection locked="0"/>
    </xf>
    <xf numFmtId="166" fontId="20" fillId="0" borderId="17" xfId="0" applyNumberFormat="1" applyFont="1" applyBorder="1" applyAlignment="1">
      <alignment horizontal="center" vertical="center"/>
    </xf>
    <xf numFmtId="2" fontId="20" fillId="0" borderId="36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65" fontId="4" fillId="2" borderId="10" xfId="0" applyNumberFormat="1" applyFont="1" applyFill="1" applyBorder="1" applyAlignment="1" applyProtection="1">
      <alignment horizontal="center" vertical="center"/>
      <protection locked="0"/>
    </xf>
    <xf numFmtId="1" fontId="4" fillId="2" borderId="37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vertical="center"/>
    </xf>
    <xf numFmtId="165" fontId="4" fillId="2" borderId="38" xfId="0" applyNumberFormat="1" applyFont="1" applyFill="1" applyBorder="1" applyAlignment="1" applyProtection="1">
      <alignment horizontal="center" vertical="center"/>
      <protection locked="0"/>
    </xf>
    <xf numFmtId="165" fontId="4" fillId="2" borderId="3" xfId="0" applyNumberFormat="1" applyFont="1" applyFill="1" applyBorder="1" applyAlignment="1" applyProtection="1">
      <alignment horizontal="center" vertical="center"/>
      <protection locked="0"/>
    </xf>
    <xf numFmtId="2" fontId="20" fillId="0" borderId="39" xfId="0" applyNumberFormat="1" applyFont="1" applyBorder="1" applyAlignment="1">
      <alignment horizontal="center" vertical="center"/>
    </xf>
    <xf numFmtId="165" fontId="21" fillId="0" borderId="0" xfId="0" applyNumberFormat="1" applyFont="1" applyAlignment="1">
      <alignment horizontal="center" vertical="center"/>
    </xf>
    <xf numFmtId="2" fontId="4" fillId="2" borderId="28" xfId="0" applyNumberFormat="1" applyFont="1" applyFill="1" applyBorder="1" applyAlignment="1" applyProtection="1">
      <alignment horizontal="center" vertical="center"/>
      <protection locked="0"/>
    </xf>
    <xf numFmtId="165" fontId="4" fillId="2" borderId="28" xfId="0" applyNumberFormat="1" applyFont="1" applyFill="1" applyBorder="1" applyAlignment="1" applyProtection="1">
      <alignment horizontal="center" vertical="center"/>
      <protection locked="0"/>
    </xf>
    <xf numFmtId="2" fontId="4" fillId="2" borderId="28" xfId="2" applyNumberFormat="1" applyFont="1" applyFill="1" applyBorder="1" applyAlignment="1" applyProtection="1">
      <alignment horizontal="center" vertical="center"/>
      <protection locked="0"/>
    </xf>
    <xf numFmtId="1" fontId="4" fillId="2" borderId="40" xfId="0" applyNumberFormat="1" applyFont="1" applyFill="1" applyBorder="1" applyAlignment="1" applyProtection="1">
      <alignment horizontal="center" vertical="center"/>
      <protection locked="0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2" fontId="22" fillId="0" borderId="4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right" vertical="top"/>
    </xf>
    <xf numFmtId="165" fontId="20" fillId="0" borderId="19" xfId="0" applyNumberFormat="1" applyFont="1" applyBorder="1" applyAlignment="1">
      <alignment horizontal="center" vertical="top"/>
    </xf>
    <xf numFmtId="2" fontId="20" fillId="0" borderId="19" xfId="0" applyNumberFormat="1" applyFont="1" applyBorder="1" applyAlignment="1">
      <alignment horizontal="center" vertical="top"/>
    </xf>
    <xf numFmtId="1" fontId="20" fillId="0" borderId="19" xfId="0" applyNumberFormat="1" applyFont="1" applyBorder="1" applyAlignment="1">
      <alignment horizontal="center" vertical="top"/>
    </xf>
    <xf numFmtId="1" fontId="23" fillId="0" borderId="0" xfId="0" applyNumberFormat="1" applyFont="1" applyAlignment="1">
      <alignment horizontal="center" vertical="center"/>
    </xf>
    <xf numFmtId="0" fontId="4" fillId="0" borderId="43" xfId="0" applyFont="1" applyBorder="1" applyAlignment="1">
      <alignment horizontal="right" vertical="center"/>
    </xf>
    <xf numFmtId="165" fontId="4" fillId="2" borderId="44" xfId="0" applyNumberFormat="1" applyFont="1" applyFill="1" applyBorder="1" applyAlignment="1" applyProtection="1">
      <alignment horizontal="center" vertical="center"/>
      <protection locked="0"/>
    </xf>
    <xf numFmtId="0" fontId="4" fillId="0" borderId="42" xfId="0" applyFont="1" applyBorder="1" applyAlignment="1">
      <alignment horizontal="right" vertical="center"/>
    </xf>
    <xf numFmtId="165" fontId="4" fillId="2" borderId="45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13" fillId="0" borderId="50" xfId="0" applyNumberFormat="1" applyFont="1" applyBorder="1" applyAlignment="1">
      <alignment horizontal="center" vertical="center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/>
      <protection locked="0"/>
    </xf>
    <xf numFmtId="1" fontId="13" fillId="0" borderId="17" xfId="0" applyNumberFormat="1" applyFont="1" applyBorder="1" applyAlignment="1">
      <alignment horizontal="center" vertical="center"/>
    </xf>
    <xf numFmtId="1" fontId="13" fillId="0" borderId="52" xfId="0" applyNumberFormat="1" applyFont="1" applyBorder="1" applyAlignment="1">
      <alignment horizontal="center" vertical="center"/>
    </xf>
    <xf numFmtId="0" fontId="26" fillId="0" borderId="0" xfId="0" applyFont="1"/>
    <xf numFmtId="0" fontId="11" fillId="0" borderId="0" xfId="0" applyFont="1" applyAlignment="1">
      <alignment horizontal="right" vertical="center"/>
    </xf>
    <xf numFmtId="1" fontId="13" fillId="0" borderId="49" xfId="0" applyNumberFormat="1" applyFont="1" applyBorder="1" applyAlignment="1">
      <alignment horizontal="center" vertical="center"/>
    </xf>
    <xf numFmtId="165" fontId="13" fillId="0" borderId="10" xfId="0" applyNumberFormat="1" applyFont="1" applyBorder="1" applyAlignment="1">
      <alignment horizontal="center" vertical="center"/>
    </xf>
    <xf numFmtId="165" fontId="13" fillId="0" borderId="25" xfId="0" applyNumberFormat="1" applyFont="1" applyBorder="1" applyAlignment="1">
      <alignment horizontal="center" vertical="center"/>
    </xf>
    <xf numFmtId="1" fontId="13" fillId="0" borderId="55" xfId="0" applyNumberFormat="1" applyFont="1" applyBorder="1" applyAlignment="1">
      <alignment horizontal="center" vertical="center"/>
    </xf>
    <xf numFmtId="165" fontId="13" fillId="0" borderId="28" xfId="0" applyNumberFormat="1" applyFont="1" applyBorder="1" applyAlignment="1">
      <alignment horizontal="center" vertical="center"/>
    </xf>
    <xf numFmtId="1" fontId="13" fillId="0" borderId="5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2" fontId="13" fillId="0" borderId="55" xfId="0" applyNumberFormat="1" applyFont="1" applyBorder="1" applyAlignment="1">
      <alignment horizontal="center" vertical="center"/>
    </xf>
    <xf numFmtId="165" fontId="17" fillId="0" borderId="19" xfId="0" applyNumberFormat="1" applyFont="1" applyBorder="1" applyAlignment="1">
      <alignment horizontal="center" vertical="center"/>
    </xf>
    <xf numFmtId="1" fontId="17" fillId="0" borderId="19" xfId="0" applyNumberFormat="1" applyFont="1" applyBorder="1" applyAlignment="1">
      <alignment horizontal="center" vertical="center"/>
    </xf>
    <xf numFmtId="1" fontId="20" fillId="0" borderId="1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2" fontId="13" fillId="0" borderId="14" xfId="0" applyNumberFormat="1" applyFont="1" applyBorder="1" applyAlignment="1">
      <alignment horizontal="center" vertical="center"/>
    </xf>
    <xf numFmtId="1" fontId="13" fillId="0" borderId="6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9" xfId="0" applyFont="1" applyBorder="1" applyAlignment="1">
      <alignment vertical="center"/>
    </xf>
    <xf numFmtId="0" fontId="7" fillId="0" borderId="0" xfId="0" applyFont="1" applyAlignment="1">
      <alignment horizontal="center" vertical="top" wrapText="1"/>
    </xf>
    <xf numFmtId="0" fontId="12" fillId="0" borderId="61" xfId="0" applyFont="1" applyBorder="1" applyAlignment="1">
      <alignment horizontal="center" vertical="center"/>
    </xf>
    <xf numFmtId="1" fontId="4" fillId="2" borderId="6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6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63" xfId="0" applyFont="1" applyFill="1" applyBorder="1" applyAlignment="1" applyProtection="1">
      <alignment horizontal="center" vertical="center"/>
      <protection locked="0"/>
    </xf>
    <xf numFmtId="1" fontId="13" fillId="0" borderId="64" xfId="0" applyNumberFormat="1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165" fontId="13" fillId="0" borderId="66" xfId="0" applyNumberFormat="1" applyFont="1" applyBorder="1" applyAlignment="1">
      <alignment horizontal="center" vertical="center"/>
    </xf>
    <xf numFmtId="165" fontId="13" fillId="0" borderId="67" xfId="0" applyNumberFormat="1" applyFont="1" applyBorder="1" applyAlignment="1">
      <alignment horizontal="center" vertical="center"/>
    </xf>
    <xf numFmtId="1" fontId="13" fillId="0" borderId="68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2" fontId="10" fillId="0" borderId="69" xfId="0" applyNumberFormat="1" applyFont="1" applyBorder="1" applyAlignment="1">
      <alignment horizontal="center" vertical="center"/>
    </xf>
    <xf numFmtId="1" fontId="7" fillId="0" borderId="60" xfId="0" applyNumberFormat="1" applyFont="1" applyBorder="1" applyAlignment="1">
      <alignment horizontal="center" vertical="center"/>
    </xf>
    <xf numFmtId="1" fontId="7" fillId="0" borderId="70" xfId="0" applyNumberFormat="1" applyFont="1" applyBorder="1" applyAlignment="1">
      <alignment horizontal="center" vertical="center"/>
    </xf>
    <xf numFmtId="1" fontId="13" fillId="0" borderId="71" xfId="0" applyNumberFormat="1" applyFont="1" applyBorder="1" applyAlignment="1">
      <alignment horizontal="center" vertical="center"/>
    </xf>
    <xf numFmtId="1" fontId="20" fillId="0" borderId="68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16" xfId="0" applyFont="1" applyBorder="1" applyAlignment="1">
      <alignment vertical="center"/>
    </xf>
    <xf numFmtId="1" fontId="13" fillId="0" borderId="72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" fontId="13" fillId="0" borderId="19" xfId="0" applyNumberFormat="1" applyFont="1" applyBorder="1" applyAlignment="1">
      <alignment horizontal="center" vertical="center"/>
    </xf>
    <xf numFmtId="0" fontId="10" fillId="0" borderId="0" xfId="0" applyFont="1"/>
    <xf numFmtId="1" fontId="13" fillId="0" borderId="74" xfId="0" applyNumberFormat="1" applyFont="1" applyBorder="1" applyAlignment="1">
      <alignment horizontal="center" vertical="center"/>
    </xf>
    <xf numFmtId="167" fontId="10" fillId="0" borderId="0" xfId="0" applyNumberFormat="1" applyFont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0" fillId="0" borderId="0" xfId="0" applyFont="1"/>
    <xf numFmtId="0" fontId="31" fillId="0" borderId="0" xfId="0" applyFont="1" applyAlignment="1">
      <alignment horizontal="center" vertical="center"/>
    </xf>
    <xf numFmtId="0" fontId="5" fillId="0" borderId="0" xfId="0" applyFont="1"/>
    <xf numFmtId="0" fontId="3" fillId="0" borderId="76" xfId="0" applyFont="1" applyBorder="1" applyAlignment="1">
      <alignment vertical="top"/>
    </xf>
    <xf numFmtId="0" fontId="12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7" fillId="0" borderId="77" xfId="0" applyFont="1" applyBorder="1" applyAlignment="1">
      <alignment horizontal="center" vertical="center" wrapText="1"/>
    </xf>
    <xf numFmtId="0" fontId="32" fillId="0" borderId="38" xfId="0" applyFont="1" applyBorder="1" applyAlignment="1">
      <alignment vertical="center"/>
    </xf>
    <xf numFmtId="166" fontId="0" fillId="0" borderId="3" xfId="0" applyNumberFormat="1" applyBorder="1" applyAlignment="1">
      <alignment horizontal="center" vertical="center"/>
    </xf>
    <xf numFmtId="166" fontId="33" fillId="2" borderId="81" xfId="0" applyNumberFormat="1" applyFont="1" applyFill="1" applyBorder="1" applyAlignment="1" applyProtection="1">
      <alignment horizontal="center" vertical="center"/>
      <protection locked="0"/>
    </xf>
    <xf numFmtId="2" fontId="13" fillId="0" borderId="82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34" fillId="0" borderId="9" xfId="0" applyFont="1" applyBorder="1" applyAlignment="1">
      <alignment vertical="center"/>
    </xf>
    <xf numFmtId="166" fontId="0" fillId="0" borderId="10" xfId="0" applyNumberFormat="1" applyBorder="1" applyAlignment="1">
      <alignment horizontal="center" vertical="center"/>
    </xf>
    <xf numFmtId="166" fontId="33" fillId="2" borderId="85" xfId="0" applyNumberFormat="1" applyFont="1" applyFill="1" applyBorder="1" applyAlignment="1" applyProtection="1">
      <alignment horizontal="center" vertical="center"/>
      <protection locked="0"/>
    </xf>
    <xf numFmtId="0" fontId="34" fillId="0" borderId="14" xfId="0" applyFont="1" applyBorder="1" applyAlignment="1">
      <alignment vertical="center"/>
    </xf>
    <xf numFmtId="2" fontId="13" fillId="0" borderId="88" xfId="0" applyNumberFormat="1" applyFont="1" applyBorder="1" applyAlignment="1">
      <alignment horizontal="center" vertical="center"/>
    </xf>
    <xf numFmtId="167" fontId="33" fillId="2" borderId="85" xfId="0" applyNumberFormat="1" applyFont="1" applyFill="1" applyBorder="1" applyAlignment="1" applyProtection="1">
      <alignment horizontal="center" vertical="center"/>
      <protection locked="0"/>
    </xf>
    <xf numFmtId="2" fontId="33" fillId="2" borderId="10" xfId="0" applyNumberFormat="1" applyFont="1" applyFill="1" applyBorder="1" applyAlignment="1" applyProtection="1">
      <alignment horizontal="center" vertical="center"/>
      <protection locked="0"/>
    </xf>
    <xf numFmtId="2" fontId="13" fillId="0" borderId="37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2" fontId="0" fillId="0" borderId="10" xfId="0" applyNumberFormat="1" applyBorder="1" applyAlignment="1">
      <alignment horizontal="center" vertical="center"/>
    </xf>
    <xf numFmtId="2" fontId="33" fillId="2" borderId="85" xfId="0" applyNumberFormat="1" applyFont="1" applyFill="1" applyBorder="1" applyAlignment="1" applyProtection="1">
      <alignment horizontal="center" vertical="center"/>
      <protection locked="0"/>
    </xf>
    <xf numFmtId="0" fontId="34" fillId="0" borderId="56" xfId="0" applyFont="1" applyBorder="1" applyAlignment="1">
      <alignment vertical="center"/>
    </xf>
    <xf numFmtId="2" fontId="33" fillId="2" borderId="81" xfId="0" applyNumberFormat="1" applyFont="1" applyFill="1" applyBorder="1" applyAlignment="1" applyProtection="1">
      <alignment horizontal="center" vertical="center"/>
      <protection locked="0"/>
    </xf>
    <xf numFmtId="2" fontId="13" fillId="0" borderId="93" xfId="0" applyNumberFormat="1" applyFont="1" applyBorder="1" applyAlignment="1">
      <alignment horizontal="center" vertical="center"/>
    </xf>
    <xf numFmtId="2" fontId="13" fillId="0" borderId="15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13" fillId="0" borderId="94" xfId="0" applyNumberFormat="1" applyFont="1" applyBorder="1" applyAlignment="1">
      <alignment horizontal="center" vertical="center"/>
    </xf>
    <xf numFmtId="0" fontId="34" fillId="0" borderId="24" xfId="0" applyFont="1" applyBorder="1" applyAlignment="1">
      <alignment horizontal="left" vertical="center"/>
    </xf>
    <xf numFmtId="2" fontId="33" fillId="2" borderId="95" xfId="0" applyNumberFormat="1" applyFont="1" applyFill="1" applyBorder="1" applyAlignment="1" applyProtection="1">
      <alignment horizontal="center" vertical="center"/>
      <protection locked="0"/>
    </xf>
    <xf numFmtId="0" fontId="34" fillId="0" borderId="96" xfId="0" applyFont="1" applyBorder="1" applyAlignment="1">
      <alignment vertical="center"/>
    </xf>
    <xf numFmtId="166" fontId="0" fillId="0" borderId="25" xfId="0" applyNumberFormat="1" applyBorder="1" applyAlignment="1">
      <alignment horizontal="center" vertical="center"/>
    </xf>
    <xf numFmtId="0" fontId="34" fillId="0" borderId="24" xfId="0" applyFont="1" applyBorder="1" applyAlignment="1">
      <alignment vertical="center"/>
    </xf>
    <xf numFmtId="2" fontId="0" fillId="0" borderId="97" xfId="0" applyNumberFormat="1" applyBorder="1" applyAlignment="1">
      <alignment horizontal="center" vertical="center"/>
    </xf>
    <xf numFmtId="2" fontId="3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34" fillId="0" borderId="38" xfId="0" applyFont="1" applyBorder="1" applyAlignment="1">
      <alignment vertical="center"/>
    </xf>
    <xf numFmtId="2" fontId="0" fillId="0" borderId="3" xfId="0" applyNumberFormat="1" applyBorder="1" applyAlignment="1">
      <alignment horizontal="center" vertical="center"/>
    </xf>
    <xf numFmtId="2" fontId="33" fillId="2" borderId="3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left" vertical="center" readingOrder="1"/>
    </xf>
    <xf numFmtId="166" fontId="0" fillId="0" borderId="27" xfId="0" applyNumberFormat="1" applyBorder="1" applyAlignment="1">
      <alignment horizontal="center" vertical="center"/>
    </xf>
    <xf numFmtId="2" fontId="33" fillId="2" borderId="27" xfId="0" applyNumberFormat="1" applyFont="1" applyFill="1" applyBorder="1" applyAlignment="1" applyProtection="1">
      <alignment horizontal="center" vertical="center"/>
      <protection locked="0"/>
    </xf>
    <xf numFmtId="2" fontId="13" fillId="0" borderId="98" xfId="0" applyNumberFormat="1" applyFont="1" applyBorder="1" applyAlignment="1">
      <alignment horizontal="center" vertical="center"/>
    </xf>
    <xf numFmtId="166" fontId="33" fillId="2" borderId="3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/>
    <xf numFmtId="2" fontId="33" fillId="2" borderId="25" xfId="0" applyNumberFormat="1" applyFont="1" applyFill="1" applyBorder="1" applyAlignment="1" applyProtection="1">
      <alignment horizontal="center" vertical="center"/>
      <protection locked="0"/>
    </xf>
    <xf numFmtId="166" fontId="33" fillId="2" borderId="10" xfId="0" applyNumberFormat="1" applyFont="1" applyFill="1" applyBorder="1" applyAlignment="1" applyProtection="1">
      <alignment horizontal="center" vertical="center"/>
      <protection locked="0"/>
    </xf>
    <xf numFmtId="165" fontId="33" fillId="2" borderId="99" xfId="0" applyNumberFormat="1" applyFont="1" applyFill="1" applyBorder="1" applyAlignment="1" applyProtection="1">
      <alignment horizontal="center" vertical="center"/>
      <protection locked="0"/>
    </xf>
    <xf numFmtId="166" fontId="13" fillId="0" borderId="9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3" fillId="0" borderId="100" xfId="0" applyNumberFormat="1" applyFont="1" applyBorder="1" applyAlignment="1">
      <alignment horizontal="center" vertical="center"/>
    </xf>
    <xf numFmtId="0" fontId="34" fillId="0" borderId="16" xfId="0" applyFont="1" applyBorder="1" applyAlignment="1">
      <alignment vertical="center"/>
    </xf>
    <xf numFmtId="166" fontId="0" fillId="0" borderId="17" xfId="0" applyNumberFormat="1" applyBorder="1" applyAlignment="1">
      <alignment horizontal="center" vertical="center"/>
    </xf>
    <xf numFmtId="2" fontId="33" fillId="2" borderId="17" xfId="0" applyNumberFormat="1" applyFont="1" applyFill="1" applyBorder="1" applyAlignment="1" applyProtection="1">
      <alignment horizontal="center" vertical="center"/>
      <protection locked="0"/>
    </xf>
    <xf numFmtId="2" fontId="13" fillId="0" borderId="36" xfId="0" applyNumberFormat="1" applyFont="1" applyBorder="1" applyAlignment="1">
      <alignment horizontal="center" vertical="center"/>
    </xf>
    <xf numFmtId="0" fontId="34" fillId="0" borderId="101" xfId="0" applyFont="1" applyBorder="1" applyAlignment="1">
      <alignment vertical="center"/>
    </xf>
    <xf numFmtId="166" fontId="0" fillId="0" borderId="102" xfId="0" applyNumberFormat="1" applyBorder="1" applyAlignment="1">
      <alignment horizontal="center" vertical="center"/>
    </xf>
    <xf numFmtId="2" fontId="33" fillId="2" borderId="103" xfId="0" applyNumberFormat="1" applyFont="1" applyFill="1" applyBorder="1" applyAlignment="1" applyProtection="1">
      <alignment horizontal="center" vertical="center"/>
      <protection locked="0"/>
    </xf>
    <xf numFmtId="2" fontId="13" fillId="0" borderId="10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36" fillId="0" borderId="0" xfId="1" applyFont="1" applyAlignment="1">
      <alignment horizontal="center" vertical="top"/>
    </xf>
    <xf numFmtId="0" fontId="37" fillId="0" borderId="0" xfId="0" applyFont="1" applyAlignment="1" applyProtection="1">
      <alignment horizontal="left" vertical="center"/>
      <protection locked="0"/>
    </xf>
    <xf numFmtId="0" fontId="4" fillId="0" borderId="23" xfId="1" applyFont="1" applyBorder="1" applyAlignment="1">
      <alignment horizontal="left" vertical="center"/>
    </xf>
    <xf numFmtId="0" fontId="4" fillId="3" borderId="10" xfId="1" applyFont="1" applyFill="1" applyBorder="1" applyAlignment="1" applyProtection="1">
      <alignment horizontal="center" vertical="center"/>
      <protection locked="0"/>
    </xf>
    <xf numFmtId="0" fontId="17" fillId="0" borderId="95" xfId="0" applyFont="1" applyBorder="1" applyAlignment="1">
      <alignment horizontal="center"/>
    </xf>
    <xf numFmtId="0" fontId="17" fillId="0" borderId="99" xfId="0" applyFont="1" applyBorder="1" applyAlignment="1">
      <alignment horizontal="center"/>
    </xf>
    <xf numFmtId="165" fontId="4" fillId="3" borderId="10" xfId="1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 applyAlignment="1">
      <alignment horizontal="center"/>
    </xf>
    <xf numFmtId="165" fontId="13" fillId="0" borderId="81" xfId="0" applyNumberFormat="1" applyFont="1" applyBorder="1" applyAlignment="1">
      <alignment horizontal="center" vertical="top"/>
    </xf>
    <xf numFmtId="165" fontId="13" fillId="0" borderId="56" xfId="0" applyNumberFormat="1" applyFont="1" applyBorder="1" applyAlignment="1">
      <alignment horizontal="center" vertical="top"/>
    </xf>
    <xf numFmtId="0" fontId="19" fillId="0" borderId="0" xfId="0" applyFont="1" applyAlignment="1" applyProtection="1">
      <alignment vertical="center"/>
      <protection locked="0"/>
    </xf>
    <xf numFmtId="1" fontId="10" fillId="0" borderId="27" xfId="0" applyNumberFormat="1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0" fillId="0" borderId="10" xfId="0" applyBorder="1"/>
    <xf numFmtId="0" fontId="19" fillId="0" borderId="0" xfId="0" applyFont="1" applyAlignment="1" applyProtection="1">
      <alignment horizontal="left" vertical="center"/>
      <protection locked="0"/>
    </xf>
    <xf numFmtId="1" fontId="10" fillId="0" borderId="10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166" fontId="4" fillId="0" borderId="0" xfId="1" applyNumberFormat="1" applyFont="1" applyAlignment="1">
      <alignment horizontal="right" vertical="center"/>
    </xf>
    <xf numFmtId="165" fontId="20" fillId="0" borderId="10" xfId="1" applyNumberFormat="1" applyFont="1" applyBorder="1" applyAlignment="1">
      <alignment horizontal="center" vertical="center"/>
    </xf>
    <xf numFmtId="166" fontId="13" fillId="0" borderId="81" xfId="0" applyNumberFormat="1" applyFont="1" applyBorder="1" applyAlignment="1">
      <alignment horizontal="center" vertical="top"/>
    </xf>
    <xf numFmtId="166" fontId="13" fillId="0" borderId="56" xfId="0" applyNumberFormat="1" applyFont="1" applyBorder="1" applyAlignment="1">
      <alignment horizontal="center" vertical="top"/>
    </xf>
    <xf numFmtId="0" fontId="41" fillId="0" borderId="0" xfId="0" applyFont="1" applyAlignment="1">
      <alignment horizontal="center"/>
    </xf>
    <xf numFmtId="166" fontId="13" fillId="0" borderId="0" xfId="1" applyNumberFormat="1" applyFont="1" applyAlignment="1">
      <alignment horizontal="right" vertical="center"/>
    </xf>
    <xf numFmtId="166" fontId="20" fillId="0" borderId="10" xfId="1" applyNumberFormat="1" applyFont="1" applyBorder="1" applyAlignment="1">
      <alignment horizontal="center" vertical="center"/>
    </xf>
    <xf numFmtId="0" fontId="17" fillId="0" borderId="95" xfId="0" applyFont="1" applyBorder="1" applyAlignment="1">
      <alignment horizontal="center" vertical="center"/>
    </xf>
    <xf numFmtId="0" fontId="17" fillId="0" borderId="99" xfId="0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165" fontId="4" fillId="0" borderId="23" xfId="1" applyNumberFormat="1" applyFont="1" applyBorder="1" applyAlignment="1">
      <alignment vertical="center"/>
    </xf>
    <xf numFmtId="165" fontId="20" fillId="0" borderId="25" xfId="1" applyNumberFormat="1" applyFont="1" applyBorder="1" applyAlignment="1">
      <alignment vertical="center"/>
    </xf>
    <xf numFmtId="0" fontId="0" fillId="0" borderId="0" xfId="0" applyAlignment="1">
      <alignment horizontal="right" vertical="center" wrapText="1"/>
    </xf>
    <xf numFmtId="2" fontId="0" fillId="0" borderId="0" xfId="0" applyNumberFormat="1"/>
    <xf numFmtId="165" fontId="20" fillId="0" borderId="97" xfId="1" applyNumberFormat="1" applyFont="1" applyBorder="1" applyAlignment="1">
      <alignment vertical="center"/>
    </xf>
    <xf numFmtId="165" fontId="20" fillId="0" borderId="0" xfId="1" applyNumberFormat="1" applyFont="1" applyAlignment="1">
      <alignment vertical="center"/>
    </xf>
    <xf numFmtId="0" fontId="36" fillId="0" borderId="0" xfId="1" applyFont="1" applyAlignment="1">
      <alignment horizontal="right" vertical="center"/>
    </xf>
    <xf numFmtId="166" fontId="12" fillId="0" borderId="105" xfId="0" applyNumberFormat="1" applyFont="1" applyBorder="1" applyAlignment="1">
      <alignment horizontal="center" vertical="top"/>
    </xf>
    <xf numFmtId="0" fontId="12" fillId="0" borderId="105" xfId="0" applyFont="1" applyBorder="1" applyAlignment="1">
      <alignment horizontal="center" vertical="center"/>
    </xf>
    <xf numFmtId="2" fontId="12" fillId="0" borderId="105" xfId="0" applyNumberFormat="1" applyFont="1" applyBorder="1" applyAlignment="1">
      <alignment horizontal="center" vertical="center"/>
    </xf>
    <xf numFmtId="2" fontId="39" fillId="0" borderId="10" xfId="0" applyNumberFormat="1" applyFont="1" applyBorder="1" applyAlignment="1">
      <alignment horizontal="center" vertical="center"/>
    </xf>
    <xf numFmtId="165" fontId="20" fillId="0" borderId="23" xfId="1" applyNumberFormat="1" applyFont="1" applyBorder="1" applyAlignment="1">
      <alignment vertical="center"/>
    </xf>
    <xf numFmtId="0" fontId="5" fillId="0" borderId="0" xfId="0" applyFont="1" applyAlignment="1">
      <alignment vertical="top"/>
    </xf>
    <xf numFmtId="167" fontId="18" fillId="0" borderId="0" xfId="0" applyNumberFormat="1" applyFont="1" applyAlignment="1">
      <alignment horizontal="center" vertical="top"/>
    </xf>
    <xf numFmtId="2" fontId="20" fillId="0" borderId="10" xfId="1" applyNumberFormat="1" applyFont="1" applyBorder="1" applyAlignment="1">
      <alignment horizontal="center" vertical="center"/>
    </xf>
    <xf numFmtId="0" fontId="44" fillId="4" borderId="10" xfId="0" applyFont="1" applyFill="1" applyBorder="1" applyAlignment="1" applyProtection="1">
      <alignment horizontal="center" vertical="center"/>
      <protection locked="0"/>
    </xf>
    <xf numFmtId="2" fontId="13" fillId="0" borderId="10" xfId="0" applyNumberFormat="1" applyFont="1" applyBorder="1" applyAlignment="1">
      <alignment horizontal="center" vertical="center"/>
    </xf>
    <xf numFmtId="0" fontId="4" fillId="0" borderId="97" xfId="0" applyFont="1" applyBorder="1" applyAlignment="1">
      <alignment horizontal="left" vertical="center"/>
    </xf>
    <xf numFmtId="0" fontId="14" fillId="0" borderId="106" xfId="1" applyBorder="1" applyAlignment="1">
      <alignment horizontal="center" vertical="center"/>
    </xf>
    <xf numFmtId="0" fontId="38" fillId="0" borderId="97" xfId="0" applyFont="1" applyBorder="1" applyAlignment="1">
      <alignment horizontal="center"/>
    </xf>
    <xf numFmtId="166" fontId="39" fillId="0" borderId="10" xfId="0" applyNumberFormat="1" applyFont="1" applyBorder="1" applyAlignment="1">
      <alignment horizontal="center" vertical="center" wrapText="1"/>
    </xf>
    <xf numFmtId="0" fontId="45" fillId="0" borderId="10" xfId="1" applyFont="1" applyBorder="1" applyAlignment="1">
      <alignment horizontal="center" vertical="center"/>
    </xf>
    <xf numFmtId="166" fontId="13" fillId="0" borderId="10" xfId="0" applyNumberFormat="1" applyFont="1" applyBorder="1" applyAlignment="1">
      <alignment horizontal="center" vertical="center"/>
    </xf>
    <xf numFmtId="2" fontId="2" fillId="0" borderId="0" xfId="0" applyNumberFormat="1" applyFont="1"/>
    <xf numFmtId="2" fontId="39" fillId="0" borderId="0" xfId="0" applyNumberFormat="1" applyFont="1"/>
    <xf numFmtId="0" fontId="3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49" fontId="10" fillId="0" borderId="0" xfId="0" applyNumberFormat="1" applyFont="1" applyAlignment="1">
      <alignment horizontal="left" vertical="center"/>
    </xf>
    <xf numFmtId="2" fontId="30" fillId="0" borderId="0" xfId="0" applyNumberFormat="1" applyFont="1"/>
    <xf numFmtId="49" fontId="10" fillId="0" borderId="0" xfId="0" applyNumberFormat="1" applyFont="1"/>
    <xf numFmtId="165" fontId="4" fillId="4" borderId="85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>
      <alignment horizontal="left"/>
    </xf>
    <xf numFmtId="0" fontId="38" fillId="0" borderId="106" xfId="0" applyFont="1" applyBorder="1" applyAlignment="1" applyProtection="1">
      <alignment horizontal="center"/>
      <protection locked="0"/>
    </xf>
    <xf numFmtId="0" fontId="38" fillId="0" borderId="106" xfId="0" applyFont="1" applyBorder="1" applyProtection="1">
      <protection locked="0"/>
    </xf>
    <xf numFmtId="166" fontId="39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8" fillId="0" borderId="107" xfId="0" applyFont="1" applyBorder="1" applyAlignment="1" applyProtection="1">
      <alignment horizontal="center"/>
      <protection locked="0"/>
    </xf>
    <xf numFmtId="0" fontId="38" fillId="0" borderId="108" xfId="0" applyFont="1" applyBorder="1" applyAlignment="1" applyProtection="1">
      <alignment horizontal="center"/>
      <protection locked="0"/>
    </xf>
    <xf numFmtId="0" fontId="38" fillId="0" borderId="109" xfId="0" applyFont="1" applyBorder="1" applyProtection="1">
      <protection locked="0"/>
    </xf>
    <xf numFmtId="0" fontId="38" fillId="0" borderId="110" xfId="0" applyFont="1" applyBorder="1" applyProtection="1">
      <protection locked="0"/>
    </xf>
    <xf numFmtId="0" fontId="38" fillId="0" borderId="111" xfId="0" applyFont="1" applyBorder="1" applyProtection="1">
      <protection locked="0"/>
    </xf>
    <xf numFmtId="2" fontId="2" fillId="0" borderId="0" xfId="3" applyNumberFormat="1" applyAlignment="1">
      <alignment horizontal="center"/>
    </xf>
    <xf numFmtId="0" fontId="0" fillId="0" borderId="0" xfId="0" applyAlignment="1">
      <alignment horizontal="left"/>
    </xf>
    <xf numFmtId="49" fontId="10" fillId="0" borderId="0" xfId="0" applyNumberFormat="1" applyFont="1" applyAlignment="1">
      <alignment horizontal="center" vertical="center"/>
    </xf>
    <xf numFmtId="0" fontId="0" fillId="0" borderId="105" xfId="0" applyBorder="1" applyAlignment="1">
      <alignment horizontal="left" vertical="center"/>
    </xf>
    <xf numFmtId="49" fontId="10" fillId="0" borderId="0" xfId="0" applyNumberFormat="1" applyFont="1" applyAlignment="1">
      <alignment vertical="center"/>
    </xf>
    <xf numFmtId="0" fontId="0" fillId="0" borderId="0" xfId="0" applyAlignment="1">
      <alignment wrapText="1"/>
    </xf>
    <xf numFmtId="1" fontId="10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38" fillId="0" borderId="112" xfId="0" applyFont="1" applyBorder="1" applyAlignment="1" applyProtection="1">
      <alignment horizontal="center"/>
      <protection locked="0"/>
    </xf>
    <xf numFmtId="0" fontId="38" fillId="0" borderId="113" xfId="0" applyFont="1" applyBorder="1" applyAlignment="1" applyProtection="1">
      <alignment horizontal="center"/>
      <protection locked="0"/>
    </xf>
    <xf numFmtId="0" fontId="38" fillId="0" borderId="114" xfId="0" applyFont="1" applyBorder="1" applyProtection="1">
      <protection locked="0"/>
    </xf>
    <xf numFmtId="0" fontId="38" fillId="0" borderId="115" xfId="0" applyFont="1" applyBorder="1" applyProtection="1">
      <protection locked="0"/>
    </xf>
    <xf numFmtId="0" fontId="38" fillId="0" borderId="116" xfId="0" applyFont="1" applyBorder="1" applyProtection="1">
      <protection locked="0"/>
    </xf>
    <xf numFmtId="0" fontId="4" fillId="0" borderId="118" xfId="0" applyFont="1" applyBorder="1"/>
    <xf numFmtId="49" fontId="4" fillId="0" borderId="119" xfId="0" applyNumberFormat="1" applyFont="1" applyBorder="1" applyAlignment="1">
      <alignment horizontal="center"/>
    </xf>
    <xf numFmtId="0" fontId="4" fillId="0" borderId="120" xfId="0" applyFont="1" applyBorder="1" applyAlignment="1">
      <alignment horizontal="center"/>
    </xf>
    <xf numFmtId="1" fontId="4" fillId="0" borderId="1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vertical="center"/>
    </xf>
    <xf numFmtId="166" fontId="4" fillId="0" borderId="1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47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9" fontId="47" fillId="0" borderId="0" xfId="0" applyNumberFormat="1" applyFont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48" fillId="0" borderId="0" xfId="0" applyFont="1"/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 vertical="center"/>
    </xf>
    <xf numFmtId="49" fontId="10" fillId="0" borderId="121" xfId="0" applyNumberFormat="1" applyFont="1" applyBorder="1"/>
    <xf numFmtId="168" fontId="47" fillId="0" borderId="0" xfId="0" applyNumberFormat="1" applyFont="1" applyAlignment="1">
      <alignment horizontal="center"/>
    </xf>
    <xf numFmtId="1" fontId="16" fillId="2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85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4" fillId="0" borderId="117" xfId="0" applyNumberFormat="1" applyFont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45" fillId="0" borderId="0" xfId="1" applyFont="1" applyAlignment="1">
      <alignment horizontal="left" vertical="center"/>
    </xf>
    <xf numFmtId="0" fontId="45" fillId="0" borderId="23" xfId="1" applyFont="1" applyBorder="1" applyAlignment="1">
      <alignment horizontal="left" vertical="center"/>
    </xf>
    <xf numFmtId="165" fontId="20" fillId="0" borderId="0" xfId="1" applyNumberFormat="1" applyFont="1" applyAlignment="1">
      <alignment horizontal="right" vertical="center"/>
    </xf>
    <xf numFmtId="165" fontId="20" fillId="0" borderId="23" xfId="1" applyNumberFormat="1" applyFont="1" applyBorder="1" applyAlignment="1">
      <alignment horizontal="right" vertical="center"/>
    </xf>
    <xf numFmtId="0" fontId="5" fillId="0" borderId="106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 wrapText="1"/>
    </xf>
    <xf numFmtId="0" fontId="35" fillId="0" borderId="0" xfId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36" fillId="0" borderId="0" xfId="1" applyFont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06" xfId="0" applyFont="1" applyBorder="1" applyAlignment="1">
      <alignment horizontal="center" vertical="center" wrapText="1"/>
    </xf>
    <xf numFmtId="0" fontId="4" fillId="4" borderId="105" xfId="0" applyFont="1" applyFill="1" applyBorder="1" applyAlignment="1" applyProtection="1">
      <alignment horizontal="center" vertical="center"/>
      <protection locked="0"/>
    </xf>
    <xf numFmtId="0" fontId="4" fillId="4" borderId="106" xfId="0" applyFont="1" applyFill="1" applyBorder="1" applyAlignment="1" applyProtection="1">
      <alignment horizontal="center" vertical="center"/>
      <protection locked="0"/>
    </xf>
    <xf numFmtId="166" fontId="36" fillId="4" borderId="105" xfId="1" applyNumberFormat="1" applyFont="1" applyFill="1" applyBorder="1" applyAlignment="1" applyProtection="1">
      <alignment horizontal="center" vertical="center"/>
      <protection locked="0"/>
    </xf>
    <xf numFmtId="166" fontId="36" fillId="4" borderId="106" xfId="1" applyNumberFormat="1" applyFont="1" applyFill="1" applyBorder="1" applyAlignment="1" applyProtection="1">
      <alignment horizontal="center" vertical="center"/>
      <protection locked="0"/>
    </xf>
    <xf numFmtId="165" fontId="4" fillId="0" borderId="97" xfId="1" applyNumberFormat="1" applyFont="1" applyBorder="1" applyAlignment="1">
      <alignment vertical="center"/>
    </xf>
    <xf numFmtId="165" fontId="4" fillId="0" borderId="23" xfId="1" applyNumberFormat="1" applyFont="1" applyBorder="1" applyAlignment="1">
      <alignment vertical="center"/>
    </xf>
    <xf numFmtId="0" fontId="10" fillId="0" borderId="0" xfId="0" applyFont="1" applyAlignment="1">
      <alignment horizontal="center" wrapText="1"/>
    </xf>
    <xf numFmtId="0" fontId="10" fillId="0" borderId="106" xfId="0" applyFont="1" applyBorder="1" applyAlignment="1">
      <alignment horizontal="center" wrapText="1"/>
    </xf>
    <xf numFmtId="165" fontId="4" fillId="0" borderId="83" xfId="0" applyNumberFormat="1" applyFont="1" applyBorder="1" applyAlignment="1">
      <alignment horizontal="center" vertical="center"/>
    </xf>
    <xf numFmtId="165" fontId="4" fillId="0" borderId="84" xfId="0" applyNumberFormat="1" applyFont="1" applyBorder="1" applyAlignment="1">
      <alignment horizontal="center" vertical="center"/>
    </xf>
    <xf numFmtId="165" fontId="4" fillId="2" borderId="86" xfId="0" applyNumberFormat="1" applyFont="1" applyFill="1" applyBorder="1" applyAlignment="1" applyProtection="1">
      <alignment horizontal="center" vertical="center"/>
      <protection locked="0"/>
    </xf>
    <xf numFmtId="165" fontId="4" fillId="2" borderId="87" xfId="0" applyNumberFormat="1" applyFont="1" applyFill="1" applyBorder="1" applyAlignment="1" applyProtection="1">
      <alignment horizontal="center" vertical="center"/>
      <protection locked="0"/>
    </xf>
    <xf numFmtId="165" fontId="4" fillId="0" borderId="89" xfId="0" applyNumberFormat="1" applyFont="1" applyBorder="1" applyAlignment="1">
      <alignment horizontal="center" vertical="center"/>
    </xf>
    <xf numFmtId="165" fontId="4" fillId="0" borderId="90" xfId="0" applyNumberFormat="1" applyFont="1" applyBorder="1" applyAlignment="1">
      <alignment horizontal="center" vertical="center"/>
    </xf>
    <xf numFmtId="165" fontId="4" fillId="2" borderId="91" xfId="0" applyNumberFormat="1" applyFont="1" applyFill="1" applyBorder="1" applyAlignment="1" applyProtection="1">
      <alignment horizontal="center" vertical="center"/>
      <protection locked="0"/>
    </xf>
    <xf numFmtId="165" fontId="4" fillId="2" borderId="92" xfId="0" applyNumberFormat="1" applyFont="1" applyFill="1" applyBorder="1" applyAlignment="1" applyProtection="1">
      <alignment horizontal="center" vertical="center"/>
      <protection locked="0"/>
    </xf>
    <xf numFmtId="166" fontId="10" fillId="0" borderId="85" xfId="0" applyNumberFormat="1" applyFont="1" applyBorder="1" applyAlignment="1">
      <alignment horizontal="right" vertical="center"/>
    </xf>
    <xf numFmtId="166" fontId="10" fillId="0" borderId="14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 applyAlignment="1">
      <alignment horizontal="right"/>
    </xf>
    <xf numFmtId="165" fontId="11" fillId="0" borderId="0" xfId="0" applyNumberFormat="1" applyFont="1" applyAlignment="1">
      <alignment horizontal="right" vertical="center"/>
    </xf>
    <xf numFmtId="0" fontId="11" fillId="0" borderId="73" xfId="0" applyFont="1" applyBorder="1" applyAlignment="1">
      <alignment horizontal="right"/>
    </xf>
    <xf numFmtId="0" fontId="29" fillId="0" borderId="0" xfId="0" applyFont="1" applyAlignment="1">
      <alignment horizontal="right"/>
    </xf>
    <xf numFmtId="0" fontId="29" fillId="0" borderId="75" xfId="0" applyFont="1" applyBorder="1" applyAlignment="1">
      <alignment horizontal="right"/>
    </xf>
    <xf numFmtId="0" fontId="5" fillId="0" borderId="78" xfId="0" applyFont="1" applyBorder="1" applyAlignment="1">
      <alignment horizontal="center" wrapText="1"/>
    </xf>
    <xf numFmtId="0" fontId="5" fillId="0" borderId="79" xfId="0" applyFont="1" applyBorder="1" applyAlignment="1">
      <alignment horizontal="center" wrapText="1"/>
    </xf>
    <xf numFmtId="0" fontId="4" fillId="0" borderId="46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5" fillId="0" borderId="42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165" fontId="10" fillId="0" borderId="20" xfId="0" applyNumberFormat="1" applyFont="1" applyBorder="1" applyAlignment="1">
      <alignment horizontal="center" vertical="center" wrapText="1"/>
    </xf>
    <xf numFmtId="165" fontId="10" fillId="0" borderId="24" xfId="0" applyNumberFormat="1" applyFont="1" applyBorder="1" applyAlignment="1">
      <alignment horizontal="center" vertical="center"/>
    </xf>
    <xf numFmtId="165" fontId="10" fillId="0" borderId="46" xfId="0" applyNumberFormat="1" applyFont="1" applyBorder="1" applyAlignment="1">
      <alignment horizontal="center" vertical="center" wrapText="1"/>
    </xf>
    <xf numFmtId="165" fontId="10" fillId="0" borderId="48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wrapText="1"/>
    </xf>
    <xf numFmtId="0" fontId="11" fillId="0" borderId="2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1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3" fillId="0" borderId="73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164" fontId="5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5" fillId="0" borderId="0" xfId="0" applyFont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</cellXfs>
  <cellStyles count="16">
    <cellStyle name="Comma 2" xfId="4" xr:uid="{00000000-0005-0000-0000-000000000000}"/>
    <cellStyle name="Currency 2" xfId="5" xr:uid="{00000000-0005-0000-0000-000001000000}"/>
    <cellStyle name="Currency 2 2" xfId="6" xr:uid="{00000000-0005-0000-0000-000002000000}"/>
    <cellStyle name="Currency 2 2 2" xfId="7" xr:uid="{00000000-0005-0000-0000-000003000000}"/>
    <cellStyle name="Currency 2 3" xfId="2" xr:uid="{00000000-0005-0000-0000-000004000000}"/>
    <cellStyle name="Normal" xfId="0" builtinId="0"/>
    <cellStyle name="Normal 2" xfId="8" xr:uid="{00000000-0005-0000-0000-000006000000}"/>
    <cellStyle name="Normal 2 2" xfId="9" xr:uid="{00000000-0005-0000-0000-000007000000}"/>
    <cellStyle name="Normal 2 2 2" xfId="10" xr:uid="{00000000-0005-0000-0000-000008000000}"/>
    <cellStyle name="Normal 2 2 2 2" xfId="11" xr:uid="{00000000-0005-0000-0000-000009000000}"/>
    <cellStyle name="Normal 2 2 2 2 2" xfId="1" xr:uid="{00000000-0005-0000-0000-00000A000000}"/>
    <cellStyle name="Normal 3" xfId="12" xr:uid="{00000000-0005-0000-0000-00000B000000}"/>
    <cellStyle name="Normal 4" xfId="13" xr:uid="{00000000-0005-0000-0000-00000C000000}"/>
    <cellStyle name="Normal 5" xfId="14" xr:uid="{00000000-0005-0000-0000-00000D000000}"/>
    <cellStyle name="Normal 6" xfId="15" xr:uid="{00000000-0005-0000-0000-00000E000000}"/>
    <cellStyle name="Normal_Sheet1" xfId="3" xr:uid="{00000000-0005-0000-0000-00000F000000}"/>
  </cellStyles>
  <dxfs count="4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YEAST vs BRIX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085739282589675E-2"/>
          <c:y val="0.12467424905220181"/>
          <c:w val="0.80352405949256345"/>
          <c:h val="0.7270245385993418"/>
        </c:manualLayout>
      </c:layout>
      <c:scatterChart>
        <c:scatterStyle val="lineMarker"/>
        <c:varyColors val="0"/>
        <c:ser>
          <c:idx val="0"/>
          <c:order val="0"/>
          <c:tx>
            <c:v>BRIX ° YEAST g/L</c:v>
          </c:tx>
          <c:spPr>
            <a:ln w="28575">
              <a:noFill/>
            </a:ln>
          </c:spPr>
          <c:marker>
            <c:symbol val="diamond"/>
            <c:size val="5"/>
          </c:marker>
          <c:trendline>
            <c:trendlineType val="linear"/>
            <c:forward val="5"/>
            <c:backward val="3"/>
            <c:dispRSqr val="1"/>
            <c:dispEq val="1"/>
            <c:trendlineLbl>
              <c:layout>
                <c:manualLayout>
                  <c:x val="9.5366787529625546E-2"/>
                  <c:y val="0.61896165860558294"/>
                </c:manualLayout>
              </c:layout>
              <c:numFmt formatCode="General" sourceLinked="0"/>
            </c:trendlineLbl>
          </c:trendline>
          <c:xVal>
            <c:numLit>
              <c:formatCode>General</c:formatCode>
              <c:ptCount val="4"/>
              <c:pt idx="0">
                <c:v>22</c:v>
              </c:pt>
              <c:pt idx="1">
                <c:v>23</c:v>
              </c:pt>
              <c:pt idx="2">
                <c:v>24</c:v>
              </c:pt>
              <c:pt idx="3">
                <c:v>25</c:v>
              </c:pt>
            </c:numLit>
          </c:xVal>
          <c:yVal>
            <c:numLit>
              <c:formatCode>General</c:formatCode>
              <c:ptCount val="4"/>
              <c:pt idx="0">
                <c:v>0.25</c:v>
              </c:pt>
              <c:pt idx="1">
                <c:v>0.26500000000000001</c:v>
              </c:pt>
              <c:pt idx="2">
                <c:v>0.28000000000000003</c:v>
              </c:pt>
              <c:pt idx="3">
                <c:v>0.3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C096-44ED-B759-6899563D8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044288"/>
        <c:axId val="132046208"/>
      </c:scatterChart>
      <c:valAx>
        <c:axId val="132044288"/>
        <c:scaling>
          <c:orientation val="minMax"/>
          <c:max val="31.5"/>
          <c:min val="18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Brix °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crossAx val="132046208"/>
        <c:crosses val="autoZero"/>
        <c:crossBetween val="midCat"/>
        <c:majorUnit val="1"/>
        <c:minorUnit val="0.5"/>
      </c:valAx>
      <c:valAx>
        <c:axId val="132046208"/>
        <c:scaling>
          <c:orientation val="minMax"/>
          <c:max val="0.45"/>
          <c:min val="0.2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Yeast g/L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2044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YAN vs Brix </a:t>
            </a:r>
          </a:p>
          <a:p>
            <a:pPr>
              <a:defRPr/>
            </a:pPr>
            <a:r>
              <a:rPr lang="en-US" sz="1200"/>
              <a:t>Scott Laboratories
2020 Fermentation Handbook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038610041648077"/>
          <c:y val="0.21840788665309549"/>
          <c:w val="0.82946693923220549"/>
          <c:h val="0.62224786972755031"/>
        </c:manualLayout>
      </c:layout>
      <c:scatterChart>
        <c:scatterStyle val="smoothMarker"/>
        <c:varyColors val="0"/>
        <c:ser>
          <c:idx val="1"/>
          <c:order val="1"/>
          <c:xVal>
            <c:numRef>
              <c:f>#REF!</c:f>
            </c:numRef>
          </c:xVal>
          <c:yVal>
            <c:numRef>
              <c:f>#REF!</c:f>
            </c:numRef>
          </c:yVal>
          <c:smooth val="1"/>
          <c:extLst>
            <c:ext xmlns:c16="http://schemas.microsoft.com/office/drawing/2014/chart" uri="{C3380CC4-5D6E-409C-BE32-E72D297353CC}">
              <c16:uniqueId val="{00000000-4BB7-46D8-9C85-1E7C4593CD6F}"/>
            </c:ext>
          </c:extLst>
        </c:ser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forward val="4"/>
            <c:dispRSqr val="1"/>
            <c:dispEq val="1"/>
            <c:trendlineLbl>
              <c:layout>
                <c:manualLayout>
                  <c:x val="-6.140110927995357E-2"/>
                  <c:y val="0.57866935616614645"/>
                </c:manualLayout>
              </c:layout>
              <c:numFmt formatCode="General" sourceLinked="0"/>
            </c:trendlineLbl>
          </c:trendline>
          <c:xVal>
            <c:numLit>
              <c:formatCode>General</c:formatCode>
              <c:ptCount val="4"/>
              <c:pt idx="0">
                <c:v>20</c:v>
              </c:pt>
              <c:pt idx="1">
                <c:v>22</c:v>
              </c:pt>
              <c:pt idx="2">
                <c:v>24</c:v>
              </c:pt>
              <c:pt idx="3">
                <c:v>26</c:v>
              </c:pt>
            </c:numLit>
          </c:xVal>
          <c:yVal>
            <c:numLit>
              <c:formatCode>General</c:formatCode>
              <c:ptCount val="4"/>
              <c:pt idx="0">
                <c:v>150</c:v>
              </c:pt>
              <c:pt idx="1">
                <c:v>165</c:v>
              </c:pt>
              <c:pt idx="2">
                <c:v>180</c:v>
              </c:pt>
              <c:pt idx="3">
                <c:v>195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4BB7-46D8-9C85-1E7C4593C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591040"/>
        <c:axId val="133592960"/>
      </c:scatterChart>
      <c:valAx>
        <c:axId val="133591040"/>
        <c:scaling>
          <c:orientation val="minMax"/>
          <c:max val="30"/>
          <c:min val="2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° Brix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3592960"/>
        <c:crosses val="autoZero"/>
        <c:crossBetween val="midCat"/>
        <c:majorUnit val="1"/>
      </c:valAx>
      <c:valAx>
        <c:axId val="133592960"/>
        <c:scaling>
          <c:orientation val="minMax"/>
          <c:min val="1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YAN Level mgN/L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3591040"/>
        <c:crosses val="autoZero"/>
        <c:crossBetween val="midCat"/>
        <c:majorUnit val="2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7" dropStyle="combo" dx="16" fmlaLink="A19" fmlaRange="$N$115:$O$131" noThreeD="1" sel="9" val="0"/>
</file>

<file path=xl/ctrlProps/ctrlProp2.xml><?xml version="1.0" encoding="utf-8"?>
<formControlPr xmlns="http://schemas.microsoft.com/office/spreadsheetml/2009/9/main" objectType="Drop" dropLines="45" dropStyle="combo" dx="16" fmlaLink="A30" fmlaRange="$N$67:$O$111" noThreeD="1" sel="14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113</xdr:row>
      <xdr:rowOff>54951</xdr:rowOff>
    </xdr:from>
    <xdr:to>
      <xdr:col>5</xdr:col>
      <xdr:colOff>552449</xdr:colOff>
      <xdr:row>120</xdr:row>
      <xdr:rowOff>381000</xdr:rowOff>
    </xdr:to>
    <xdr:sp macro="" textlink="">
      <xdr:nvSpPr>
        <xdr:cNvPr id="2" name="Text Box 1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31030251"/>
          <a:ext cx="5953124" cy="24596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36576" tIns="27432" rIns="0" bIns="0" rtlCol="0" anchor="t" upright="1"/>
        <a:lstStyle/>
        <a:p>
          <a:pPr algn="l" rtl="0"/>
          <a:r>
            <a:rPr lang="en-CA" sz="1200" b="1" i="0" u="none" strike="noStrike" baseline="0">
              <a:solidFill>
                <a:srgbClr val="80008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	 </a:t>
          </a:r>
          <a:r>
            <a:rPr lang="en-CA" sz="12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Data Entry Notes</a:t>
          </a:r>
          <a:endParaRPr lang="en-CA" sz="1000" b="1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r>
            <a:rPr lang="en-CA" sz="1100" b="1" i="0" u="none" strike="noStrike" baseline="0">
              <a:solidFill>
                <a:srgbClr val="800080"/>
              </a:solidFill>
              <a:latin typeface="Arial" panose="020B0604020202020204" pitchFamily="34" charset="0"/>
              <a:cs typeface="Arial" panose="020B0604020202020204" pitchFamily="34" charset="0"/>
            </a:rPr>
            <a:t>      </a:t>
          </a:r>
          <a:r>
            <a:rPr lang="en-CA" sz="12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Enter data</a:t>
          </a:r>
          <a:r>
            <a:rPr lang="en-CA" sz="12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CA" sz="12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en-CA" sz="12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CA" sz="1200" b="1" i="0" u="none" strike="noStrike" baseline="0">
              <a:solidFill>
                <a:srgbClr val="0099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GREEN CELLS</a:t>
          </a:r>
          <a:r>
            <a:rPr lang="en-CA" sz="1200" b="1" i="0" u="none" strike="noStrike" baseline="0">
              <a:solidFill>
                <a:srgbClr val="009900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CA" sz="12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and calculated results will show in</a:t>
          </a:r>
        </a:p>
        <a:p>
          <a:pPr algn="l" rtl="0"/>
          <a:r>
            <a:rPr lang="en-CA" sz="1200" b="1" i="0" u="none" strike="noStrike" baseline="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BLUE FONTS</a:t>
          </a:r>
          <a:r>
            <a:rPr lang="en-CA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l" rtl="0"/>
          <a:r>
            <a:rPr lang="en-CA" sz="12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Increase the Trial Addition </a:t>
          </a:r>
          <a:r>
            <a:rPr lang="en-CA" sz="12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g/L</a:t>
          </a:r>
          <a:r>
            <a:rPr lang="en-CA" sz="12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until the</a:t>
          </a:r>
          <a:r>
            <a:rPr lang="en-CA" sz="12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CA" sz="1200" b="1" i="0" u="none" strike="noStrike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YAN ADDED BY </a:t>
          </a:r>
          <a:r>
            <a:rPr lang="en-CA" sz="1200" b="1" i="0" u="none" strike="noStrike" baseline="0">
              <a:solidFill>
                <a:srgbClr val="C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NUTRIENTS (CELL C40)</a:t>
          </a:r>
          <a:r>
            <a:rPr lang="en-CA" sz="1200" b="1" i="0" u="none" strike="noStrike" baseline="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CA" sz="12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matches the</a:t>
          </a:r>
          <a:r>
            <a:rPr lang="en-CA" sz="1200" b="0" i="0" u="none" strike="noStrike" baseline="0">
              <a:solidFill>
                <a:srgbClr val="80008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CA" sz="1200" b="1" i="0" u="none" strike="noStrike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ADDITIONAL YAN REQUIRED (CELL D30).</a:t>
          </a:r>
          <a:endParaRPr lang="en-CA" sz="12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r>
            <a:rPr lang="en-CA" sz="12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Edit up to four distributions by assigning the % of each distribution</a:t>
          </a:r>
          <a:r>
            <a:rPr lang="en-CA" sz="1200" b="0" i="0" u="none" strike="noStrike" baseline="0">
              <a:solidFill>
                <a:srgbClr val="800080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l" rtl="0"/>
          <a:r>
            <a:rPr lang="en-CA" sz="1200" b="0" i="0" u="none" strike="noStrike" baseline="0">
              <a:solidFill>
                <a:srgbClr val="800080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en-CA" sz="12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Minimize the amount of DAP. Fermaid O and  Fermaid K is better. DO NOT Use DAP during the lag phase of the fermentation. Use DAP  to adjust YAN only when it is very low and before 1/3 drop in Brix.  </a:t>
          </a:r>
        </a:p>
        <a:p>
          <a:pPr algn="l" rtl="0"/>
          <a:r>
            <a:rPr lang="en-CA" sz="12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en-CA" sz="1200" b="1" i="0" u="none" strike="noStrike" baseline="0">
              <a:solidFill>
                <a:srgbClr val="C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Use GoFerm at rehydration</a:t>
          </a:r>
          <a:r>
            <a:rPr lang="en-CA" sz="12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l" rtl="0"/>
          <a:r>
            <a:rPr lang="en-CA" sz="12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NOTE:—</a:t>
          </a:r>
        </a:p>
        <a:p>
          <a:pPr algn="l" rtl="0"/>
          <a:r>
            <a:rPr lang="en-CA" sz="12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en-CA" sz="12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Spontaneous fermentation will consume all initial YAN in hours</a:t>
          </a:r>
          <a:r>
            <a:rPr lang="en-CA" sz="12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. </a:t>
          </a:r>
          <a:r>
            <a:rPr lang="en-CA" sz="1200" b="1" i="0" u="none" strike="noStrike" baseline="0">
              <a:solidFill>
                <a:srgbClr val="800080"/>
              </a:solidFill>
              <a:latin typeface="Arial" panose="020B0604020202020204" pitchFamily="34" charset="0"/>
              <a:cs typeface="Arial" panose="020B0604020202020204" pitchFamily="34" charset="0"/>
            </a:rPr>
            <a:t>    </a:t>
          </a:r>
        </a:p>
        <a:p>
          <a:pPr algn="l" rtl="0"/>
          <a:r>
            <a:rPr lang="en-CA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For 22° Brix must minimum YAN for healthy growth is 175 ±  mgN/L     </a:t>
          </a:r>
          <a:endParaRPr lang="en-CA" sz="12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r>
            <a:rPr lang="en-CA" sz="1200" b="0" i="0" u="none" strike="noStrike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en-CA" sz="1000" b="0" i="0" u="none" strike="noStrike" baseline="0">
              <a:solidFill>
                <a:srgbClr val="80008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</a:t>
          </a:r>
          <a:endParaRPr lang="en-CA" sz="1000" b="0" i="0" u="none" strike="noStrike" baseline="0">
            <a:solidFill>
              <a:srgbClr val="0000FF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r>
            <a:rPr lang="en-CA" sz="1000" b="0" i="0" u="none" strike="noStrike" baseline="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</a:t>
          </a:r>
        </a:p>
      </xdr:txBody>
    </xdr:sp>
    <xdr:clientData/>
  </xdr:twoCellAnchor>
  <xdr:twoCellAnchor>
    <xdr:from>
      <xdr:col>6</xdr:col>
      <xdr:colOff>14838</xdr:colOff>
      <xdr:row>113</xdr:row>
      <xdr:rowOff>114916</xdr:rowOff>
    </xdr:from>
    <xdr:to>
      <xdr:col>10</xdr:col>
      <xdr:colOff>14838</xdr:colOff>
      <xdr:row>120</xdr:row>
      <xdr:rowOff>343516</xdr:rowOff>
    </xdr:to>
    <xdr:sp macro="" textlink="">
      <xdr:nvSpPr>
        <xdr:cNvPr id="3" name="Text Box 5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206088" y="31090216"/>
          <a:ext cx="4572000" cy="2362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22860" rIns="0" bIns="0" rtlCol="0" anchor="t" upright="1"/>
        <a:lstStyle/>
        <a:p>
          <a:pPr algn="l" rtl="0"/>
          <a:r>
            <a:rPr lang="en-CA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	    Yeast Rehydration Notes</a:t>
          </a:r>
          <a:endParaRPr lang="en-CA" sz="12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r>
            <a:rPr lang="en-CA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Dissolve </a:t>
          </a:r>
          <a:r>
            <a:rPr lang="en-CA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GoFerm</a:t>
          </a:r>
          <a:r>
            <a:rPr lang="en-CA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in a volume of water 20 times it's weight </a:t>
          </a:r>
          <a:r>
            <a:rPr lang="en-CA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at 43°C (110°F</a:t>
          </a:r>
          <a:r>
            <a:rPr lang="en-CA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). </a:t>
          </a:r>
          <a:r>
            <a:rPr lang="en-CA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Allow to cool below 40°C (104°F) before adding yeast.</a:t>
          </a:r>
          <a:r>
            <a:rPr lang="en-CA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Allow yeast to absorb water and stir gently to break up any clumps. Let mixture stand for 15 minutes. Then gently stir in an equal amount of must over a 5 minute period. Bring the inoculant temperature down very gradually to less than </a:t>
          </a:r>
          <a:r>
            <a:rPr lang="en-CA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10°C</a:t>
          </a:r>
          <a:r>
            <a:rPr lang="en-CA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difference. Then add the inoculant to the must on the surface and around the edges. After 15 minutes mix in thoroughly.</a:t>
          </a:r>
        </a:p>
        <a:p>
          <a:pPr algn="l" rtl="0"/>
          <a:r>
            <a:rPr lang="en-CA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CA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</a:t>
          </a:r>
          <a:r>
            <a:rPr lang="en-CA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:—</a:t>
          </a:r>
        </a:p>
        <a:p>
          <a:pPr algn="l" rtl="0"/>
          <a:r>
            <a:rPr lang="en-CA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Do not use </a:t>
          </a:r>
          <a:r>
            <a:rPr lang="en-CA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chlorinated water or </a:t>
          </a:r>
          <a:r>
            <a:rPr lang="en-CA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distilled water, yeast require trace minerals in the water. Only use GoFerm </a:t>
          </a:r>
        </a:p>
        <a:p>
          <a:pPr algn="l" rtl="0"/>
          <a:r>
            <a:rPr lang="en-CA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 DAP, Fermaid K or Superfood for rehydration.</a:t>
          </a:r>
          <a:endParaRPr lang="en-CA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r>
            <a:rPr lang="en-CA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</a:t>
          </a:r>
        </a:p>
        <a:p>
          <a:pPr algn="l" rtl="0"/>
          <a:r>
            <a:rPr lang="en-CA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r>
            <a:rPr lang="en-CA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..</a:t>
          </a: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r>
            <a:rPr lang="en-CA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000</a:t>
          </a: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r>
            <a:rPr lang="en-CA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00.</a:t>
          </a: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r>
            <a:rPr lang="en-CA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0.</a:t>
          </a:r>
        </a:p>
        <a:p>
          <a:pPr algn="l" rtl="0"/>
          <a:r>
            <a:rPr lang="en-CA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.</a:t>
          </a:r>
        </a:p>
        <a:p>
          <a:pPr algn="l" rtl="0"/>
          <a:r>
            <a:rPr lang="en-CA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00000000000000000000000000000000000000000000000000000000000000000000000000000000000000000000000000000000000000000000000000000000000000000000000000000000000000000000000000000000000000000000000000000000000.</a:t>
          </a: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endParaRPr lang="en-CA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/>
          <a:r>
            <a:rPr lang="en-CA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30 minutes and then stir in an equal amount of must over a 5 minute period. Keep adding must until temperature is well within 10 °C of the must. The inoculate can be immersed in the must until temperatures have balanced. </a:t>
          </a:r>
        </a:p>
      </xdr:txBody>
    </xdr:sp>
    <xdr:clientData/>
  </xdr:twoCellAnchor>
  <xdr:twoCellAnchor>
    <xdr:from>
      <xdr:col>13</xdr:col>
      <xdr:colOff>47625</xdr:colOff>
      <xdr:row>5</xdr:row>
      <xdr:rowOff>104775</xdr:rowOff>
    </xdr:from>
    <xdr:to>
      <xdr:col>19</xdr:col>
      <xdr:colOff>800100</xdr:colOff>
      <xdr:row>20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561975</xdr:colOff>
      <xdr:row>23</xdr:row>
      <xdr:rowOff>142875</xdr:rowOff>
    </xdr:from>
    <xdr:to>
      <xdr:col>19</xdr:col>
      <xdr:colOff>600075</xdr:colOff>
      <xdr:row>36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28575</xdr:colOff>
      <xdr:row>18</xdr:row>
      <xdr:rowOff>19050</xdr:rowOff>
    </xdr:from>
    <xdr:to>
      <xdr:col>0</xdr:col>
      <xdr:colOff>1000125</xdr:colOff>
      <xdr:row>18</xdr:row>
      <xdr:rowOff>219075</xdr:rowOff>
    </xdr:to>
    <xdr:sp macro="" textlink="">
      <xdr:nvSpPr>
        <xdr:cNvPr id="6" name="Drop Down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8575" y="4953000"/>
          <a:ext cx="971550" cy="200025"/>
        </a:xfrm>
        <a:prstGeom prst="rect">
          <a:avLst/>
        </a:prstGeom>
      </xdr:spPr>
    </xdr:sp>
    <xdr:clientData fLocksWithSheet="0"/>
  </xdr:twoCellAnchor>
  <xdr:twoCellAnchor editAs="oneCell">
    <xdr:from>
      <xdr:col>0</xdr:col>
      <xdr:colOff>38100</xdr:colOff>
      <xdr:row>29</xdr:row>
      <xdr:rowOff>19050</xdr:rowOff>
    </xdr:from>
    <xdr:to>
      <xdr:col>0</xdr:col>
      <xdr:colOff>1000125</xdr:colOff>
      <xdr:row>29</xdr:row>
      <xdr:rowOff>228600</xdr:rowOff>
    </xdr:to>
    <xdr:sp macro="" textlink="">
      <xdr:nvSpPr>
        <xdr:cNvPr id="7" name="Drop Down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8100" y="8229600"/>
          <a:ext cx="962025" cy="209550"/>
        </a:xfrm>
        <a:prstGeom prst="rect">
          <a:avLst/>
        </a:prstGeom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18</xdr:row>
          <xdr:rowOff>30480</xdr:rowOff>
        </xdr:from>
        <xdr:to>
          <xdr:col>0</xdr:col>
          <xdr:colOff>1303020</xdr:colOff>
          <xdr:row>18</xdr:row>
          <xdr:rowOff>228600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29</xdr:row>
          <xdr:rowOff>30480</xdr:rowOff>
        </xdr:from>
        <xdr:to>
          <xdr:col>0</xdr:col>
          <xdr:colOff>1303020</xdr:colOff>
          <xdr:row>29</xdr:row>
          <xdr:rowOff>228600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8</xdr:col>
      <xdr:colOff>938212</xdr:colOff>
      <xdr:row>64</xdr:row>
      <xdr:rowOff>69057</xdr:rowOff>
    </xdr:from>
    <xdr:to>
      <xdr:col>9</xdr:col>
      <xdr:colOff>161924</xdr:colOff>
      <xdr:row>64</xdr:row>
      <xdr:rowOff>160783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615487" y="16842582"/>
          <a:ext cx="242887" cy="9172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7</xdr:col>
      <xdr:colOff>973931</xdr:colOff>
      <xdr:row>64</xdr:row>
      <xdr:rowOff>69056</xdr:rowOff>
    </xdr:from>
    <xdr:to>
      <xdr:col>8</xdr:col>
      <xdr:colOff>64293</xdr:colOff>
      <xdr:row>64</xdr:row>
      <xdr:rowOff>160782</xdr:rowOff>
    </xdr:to>
    <xdr:sp macro="" textlink="">
      <xdr:nvSpPr>
        <xdr:cNvPr id="11" name="Right Arrow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10800000">
          <a:off x="8498681" y="16842581"/>
          <a:ext cx="242887" cy="9172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0</xdr:col>
      <xdr:colOff>165100</xdr:colOff>
      <xdr:row>2</xdr:row>
      <xdr:rowOff>241300</xdr:rowOff>
    </xdr:from>
    <xdr:to>
      <xdr:col>10</xdr:col>
      <xdr:colOff>762000</xdr:colOff>
      <xdr:row>2</xdr:row>
      <xdr:rowOff>254000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165100" y="869950"/>
          <a:ext cx="11360150" cy="12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63"/>
  <sheetViews>
    <sheetView showGridLines="0" tabSelected="1" showWhiteSpace="0" zoomScaleNormal="100" workbookViewId="0">
      <selection activeCell="B43" sqref="B43"/>
    </sheetView>
  </sheetViews>
  <sheetFormatPr defaultRowHeight="13.2" outlineLevelRow="1" outlineLevelCol="1" x14ac:dyDescent="0.25"/>
  <cols>
    <col min="1" max="1" width="20" customWidth="1"/>
    <col min="2" max="2" width="18.33203125" customWidth="1"/>
    <col min="3" max="3" width="13.33203125" customWidth="1"/>
    <col min="4" max="5" width="14.88671875" customWidth="1"/>
    <col min="6" max="6" width="11.5546875" customWidth="1"/>
    <col min="7" max="7" width="20" customWidth="1"/>
    <col min="8" max="8" width="17.33203125" customWidth="1"/>
    <col min="9" max="9" width="15.33203125" customWidth="1"/>
    <col min="10" max="10" width="16" customWidth="1"/>
    <col min="11" max="11" width="14.44140625" customWidth="1"/>
    <col min="12" max="12" width="7" hidden="1" customWidth="1" outlineLevel="1"/>
    <col min="13" max="13" width="8.5546875" hidden="1" customWidth="1" outlineLevel="1"/>
    <col min="14" max="14" width="19" hidden="1" customWidth="1" outlineLevel="1"/>
    <col min="15" max="15" width="13.44140625" hidden="1" customWidth="1" outlineLevel="1"/>
    <col min="16" max="16" width="9" hidden="1" customWidth="1" outlineLevel="1"/>
    <col min="17" max="17" width="7.109375" hidden="1" customWidth="1" outlineLevel="1"/>
    <col min="18" max="18" width="7" hidden="1" customWidth="1" outlineLevel="1"/>
    <col min="19" max="19" width="6.5546875" hidden="1" customWidth="1" outlineLevel="1"/>
    <col min="20" max="20" width="12.44140625" hidden="1" customWidth="1" outlineLevel="1"/>
    <col min="21" max="21" width="11.6640625" hidden="1" customWidth="1" outlineLevel="1"/>
    <col min="22" max="22" width="7.6640625" hidden="1" customWidth="1" outlineLevel="1"/>
    <col min="23" max="23" width="11.33203125" hidden="1" customWidth="1" outlineLevel="1"/>
    <col min="24" max="24" width="9.109375" customWidth="1" collapsed="1"/>
  </cols>
  <sheetData>
    <row r="1" spans="1:23" ht="24.9" customHeight="1" x14ac:dyDescent="0.25">
      <c r="A1" s="1"/>
      <c r="C1" s="427" t="s">
        <v>0</v>
      </c>
      <c r="D1" s="427"/>
      <c r="E1" s="427"/>
      <c r="F1" s="427"/>
      <c r="G1" s="427"/>
      <c r="H1" s="2" t="s">
        <v>1</v>
      </c>
      <c r="I1" s="3"/>
      <c r="J1" s="4"/>
      <c r="K1" s="5"/>
    </row>
    <row r="2" spans="1:23" ht="24.9" customHeight="1" x14ac:dyDescent="0.25">
      <c r="A2" s="6" t="s">
        <v>2</v>
      </c>
      <c r="B2" s="428" t="s">
        <v>3</v>
      </c>
      <c r="C2" s="428"/>
      <c r="D2" s="6" t="s">
        <v>4</v>
      </c>
      <c r="E2" s="429">
        <v>44847</v>
      </c>
      <c r="F2" s="429"/>
      <c r="G2" s="6" t="s">
        <v>5</v>
      </c>
      <c r="H2" s="7" t="s">
        <v>6</v>
      </c>
      <c r="I2" s="430" t="s">
        <v>7</v>
      </c>
      <c r="J2" s="430"/>
      <c r="K2" s="430"/>
    </row>
    <row r="3" spans="1:23" s="433" customFormat="1" ht="22.5" customHeight="1" x14ac:dyDescent="0.3">
      <c r="A3" s="431" t="s">
        <v>316</v>
      </c>
      <c r="B3" s="431"/>
      <c r="C3" s="432" t="s">
        <v>319</v>
      </c>
      <c r="D3" s="432"/>
      <c r="E3" s="432"/>
      <c r="F3" s="431" t="s">
        <v>317</v>
      </c>
      <c r="G3" s="431"/>
      <c r="H3" s="431"/>
      <c r="I3" s="431" t="s">
        <v>318</v>
      </c>
      <c r="J3" s="431"/>
      <c r="K3" s="431"/>
    </row>
    <row r="4" spans="1:23" ht="24.9" customHeight="1" x14ac:dyDescent="0.25">
      <c r="A4" s="8" t="s">
        <v>9</v>
      </c>
      <c r="B4" s="9"/>
      <c r="C4" s="9"/>
      <c r="D4" s="9"/>
      <c r="E4" s="9"/>
      <c r="F4" s="9"/>
      <c r="G4" s="9"/>
      <c r="H4" s="9"/>
      <c r="I4" s="5"/>
      <c r="J4" s="5"/>
      <c r="K4" s="5"/>
    </row>
    <row r="5" spans="1:23" ht="21.75" customHeight="1" outlineLevel="1" thickBot="1" x14ac:dyDescent="0.3">
      <c r="B5" s="422" t="s">
        <v>10</v>
      </c>
      <c r="C5" s="422"/>
      <c r="E5" s="422" t="s">
        <v>10</v>
      </c>
      <c r="F5" s="422"/>
      <c r="H5" s="422" t="s">
        <v>11</v>
      </c>
      <c r="I5" s="422"/>
      <c r="J5" s="422"/>
      <c r="K5" s="422"/>
    </row>
    <row r="6" spans="1:23" ht="45" customHeight="1" outlineLevel="1" x14ac:dyDescent="0.25">
      <c r="A6" s="10" t="s">
        <v>12</v>
      </c>
      <c r="B6" s="11" t="s">
        <v>13</v>
      </c>
      <c r="C6" s="12" t="s">
        <v>14</v>
      </c>
      <c r="D6" s="13" t="s">
        <v>12</v>
      </c>
      <c r="E6" s="14" t="s">
        <v>15</v>
      </c>
      <c r="F6" s="12" t="s">
        <v>14</v>
      </c>
      <c r="H6" s="10" t="s">
        <v>12</v>
      </c>
      <c r="I6" s="15" t="s">
        <v>16</v>
      </c>
      <c r="J6" s="14" t="s">
        <v>17</v>
      </c>
      <c r="K6" s="16" t="s">
        <v>18</v>
      </c>
    </row>
    <row r="7" spans="1:23" ht="18" customHeight="1" outlineLevel="1" x14ac:dyDescent="0.25">
      <c r="A7" s="17" t="s">
        <v>19</v>
      </c>
      <c r="B7" s="18">
        <v>107</v>
      </c>
      <c r="C7" s="19">
        <f>IF(B7="","",(0.00002*B7^2)-(0.0667*B7)+25.245)</f>
        <v>18.33708</v>
      </c>
      <c r="D7" s="20"/>
      <c r="E7" s="18">
        <v>36</v>
      </c>
      <c r="F7" s="21">
        <f>IF(E7="","",(0.00002*E7^2)-(0.0667*E7)+25.245)</f>
        <v>22.869720000000001</v>
      </c>
      <c r="H7" s="17" t="s">
        <v>19</v>
      </c>
      <c r="I7" s="22">
        <v>50.18</v>
      </c>
      <c r="J7" s="23">
        <v>3.4</v>
      </c>
      <c r="K7" s="24">
        <f>IF(I7="","",I7-J7)</f>
        <v>46.78</v>
      </c>
    </row>
    <row r="8" spans="1:23" ht="18" customHeight="1" outlineLevel="1" x14ac:dyDescent="0.25">
      <c r="A8" s="25" t="s">
        <v>20</v>
      </c>
      <c r="B8" s="18">
        <v>92</v>
      </c>
      <c r="C8" s="19">
        <f t="shared" ref="C8:C12" si="0">IF(B8="","",(0.00002*B8^2)-(0.0667*B8)+25.245)</f>
        <v>19.277880000000003</v>
      </c>
      <c r="D8" s="26"/>
      <c r="E8" s="18">
        <v>55</v>
      </c>
      <c r="F8" s="21">
        <f t="shared" ref="F8:F12" si="1">IF(E8="","",(0.00002*E8^2)-(0.0667*E8)+25.245)</f>
        <v>21.637</v>
      </c>
      <c r="H8" s="25" t="s">
        <v>20</v>
      </c>
      <c r="I8" s="22">
        <v>52.98</v>
      </c>
      <c r="J8" s="27">
        <v>3.86</v>
      </c>
      <c r="K8" s="24">
        <f>IF(I8="","",I8-J8)</f>
        <v>49.12</v>
      </c>
    </row>
    <row r="9" spans="1:23" ht="18" customHeight="1" outlineLevel="1" x14ac:dyDescent="0.25">
      <c r="A9" s="17" t="s">
        <v>21</v>
      </c>
      <c r="B9" s="18">
        <v>99</v>
      </c>
      <c r="C9" s="19">
        <f t="shared" si="0"/>
        <v>18.837720000000001</v>
      </c>
      <c r="D9" s="20"/>
      <c r="E9" s="18">
        <v>28</v>
      </c>
      <c r="F9" s="21">
        <f t="shared" si="1"/>
        <v>23.393080000000001</v>
      </c>
      <c r="H9" s="17" t="s">
        <v>21</v>
      </c>
      <c r="I9" s="22">
        <v>51.52</v>
      </c>
      <c r="J9" s="27">
        <v>3.44</v>
      </c>
      <c r="K9" s="24">
        <f t="shared" ref="K9:K12" si="2">IF(I9="","",I9-J9)</f>
        <v>48.080000000000005</v>
      </c>
    </row>
    <row r="10" spans="1:23" ht="18" customHeight="1" outlineLevel="1" x14ac:dyDescent="0.25">
      <c r="A10" s="25" t="s">
        <v>22</v>
      </c>
      <c r="B10" s="18">
        <v>240</v>
      </c>
      <c r="C10" s="19">
        <f t="shared" si="0"/>
        <v>10.389000000000003</v>
      </c>
      <c r="D10" s="26"/>
      <c r="E10" s="18"/>
      <c r="F10" s="21" t="str">
        <f t="shared" si="1"/>
        <v/>
      </c>
      <c r="H10" s="25" t="s">
        <v>22</v>
      </c>
      <c r="I10" s="22">
        <v>28.97</v>
      </c>
      <c r="J10" s="27">
        <v>3.22</v>
      </c>
      <c r="K10" s="24">
        <f t="shared" si="2"/>
        <v>25.75</v>
      </c>
    </row>
    <row r="11" spans="1:23" ht="18" customHeight="1" outlineLevel="1" x14ac:dyDescent="0.25">
      <c r="A11" s="17" t="s">
        <v>23</v>
      </c>
      <c r="B11" s="18">
        <v>92</v>
      </c>
      <c r="C11" s="19">
        <f t="shared" si="0"/>
        <v>19.277880000000003</v>
      </c>
      <c r="D11" s="20"/>
      <c r="E11" s="18"/>
      <c r="F11" s="21" t="str">
        <f t="shared" si="1"/>
        <v/>
      </c>
      <c r="H11" s="17" t="s">
        <v>23</v>
      </c>
      <c r="I11" s="28">
        <v>50</v>
      </c>
      <c r="J11" s="27">
        <v>3.15</v>
      </c>
      <c r="K11" s="24">
        <f t="shared" si="2"/>
        <v>46.85</v>
      </c>
    </row>
    <row r="12" spans="1:23" ht="18" customHeight="1" outlineLevel="1" thickBot="1" x14ac:dyDescent="0.3">
      <c r="A12" s="29"/>
      <c r="B12" s="30"/>
      <c r="C12" s="19" t="str">
        <f t="shared" si="0"/>
        <v/>
      </c>
      <c r="D12" s="20"/>
      <c r="E12" s="30"/>
      <c r="F12" s="21" t="str">
        <f t="shared" si="1"/>
        <v/>
      </c>
      <c r="H12" s="29"/>
      <c r="I12" s="31"/>
      <c r="J12" s="32"/>
      <c r="K12" s="24" t="str">
        <f t="shared" si="2"/>
        <v/>
      </c>
    </row>
    <row r="13" spans="1:23" ht="18" customHeight="1" outlineLevel="1" thickTop="1" x14ac:dyDescent="0.25">
      <c r="A13" s="426" t="s">
        <v>315</v>
      </c>
      <c r="B13" s="426"/>
      <c r="C13" s="35">
        <f>SUM(C7:C12)</f>
        <v>86.119560000000007</v>
      </c>
      <c r="D13" s="33" t="s">
        <v>25</v>
      </c>
      <c r="E13" s="34" t="s">
        <v>24</v>
      </c>
      <c r="F13" s="35">
        <f>SUM(F7:F12)</f>
        <v>67.899799999999999</v>
      </c>
      <c r="I13" s="423" t="s">
        <v>314</v>
      </c>
      <c r="J13" s="423"/>
      <c r="K13" s="35">
        <f>SUM(K7:K12)</f>
        <v>216.58</v>
      </c>
    </row>
    <row r="14" spans="1:23" ht="18" customHeight="1" x14ac:dyDescent="0.3">
      <c r="A14" s="36"/>
      <c r="B14" s="34"/>
      <c r="C14" s="36"/>
      <c r="D14" s="36"/>
      <c r="E14" s="36"/>
      <c r="F14" s="36"/>
      <c r="G14" s="36"/>
      <c r="H14" s="36"/>
      <c r="L14" s="37"/>
      <c r="M14" s="37"/>
      <c r="N14" s="37"/>
    </row>
    <row r="15" spans="1:23" ht="20.25" customHeight="1" thickBot="1" x14ac:dyDescent="0.3">
      <c r="A15" s="424" t="s">
        <v>26</v>
      </c>
      <c r="B15" s="424"/>
      <c r="C15" s="424"/>
      <c r="D15" s="424"/>
      <c r="E15" s="424"/>
      <c r="F15" s="424"/>
      <c r="J15" s="425" t="s">
        <v>27</v>
      </c>
      <c r="K15" s="425"/>
    </row>
    <row r="16" spans="1:23" ht="20.25" customHeight="1" x14ac:dyDescent="0.25">
      <c r="A16" s="408" t="s">
        <v>28</v>
      </c>
      <c r="B16" s="410" t="s">
        <v>29</v>
      </c>
      <c r="C16" s="413" t="s">
        <v>30</v>
      </c>
      <c r="D16" s="372" t="s">
        <v>31</v>
      </c>
      <c r="E16" s="390" t="s">
        <v>32</v>
      </c>
      <c r="F16" s="419" t="s">
        <v>33</v>
      </c>
      <c r="I16" s="402" t="s">
        <v>34</v>
      </c>
      <c r="J16" s="403"/>
      <c r="K16" s="38">
        <v>31.2</v>
      </c>
      <c r="S16" s="39"/>
      <c r="V16" s="40" t="s">
        <v>35</v>
      </c>
      <c r="W16" s="41" t="s">
        <v>36</v>
      </c>
    </row>
    <row r="17" spans="1:23" ht="20.25" customHeight="1" x14ac:dyDescent="0.25">
      <c r="A17" s="409"/>
      <c r="B17" s="411"/>
      <c r="C17" s="414"/>
      <c r="D17" s="416"/>
      <c r="E17" s="417"/>
      <c r="F17" s="420"/>
      <c r="I17" s="404" t="s">
        <v>37</v>
      </c>
      <c r="J17" s="405"/>
      <c r="K17" s="42">
        <v>5.0999999999999996</v>
      </c>
      <c r="T17" s="39"/>
      <c r="V17" s="43">
        <v>22</v>
      </c>
      <c r="W17" s="44">
        <v>0.25</v>
      </c>
    </row>
    <row r="18" spans="1:23" ht="20.25" customHeight="1" thickBot="1" x14ac:dyDescent="0.3">
      <c r="A18" s="409"/>
      <c r="B18" s="412"/>
      <c r="C18" s="415"/>
      <c r="D18" s="373"/>
      <c r="E18" s="418"/>
      <c r="F18" s="421"/>
      <c r="I18" s="404" t="s">
        <v>38</v>
      </c>
      <c r="J18" s="405"/>
      <c r="K18" s="45">
        <v>6.5</v>
      </c>
      <c r="T18" s="39"/>
      <c r="V18" s="46">
        <v>23</v>
      </c>
      <c r="W18" s="47">
        <v>0.26500000000000001</v>
      </c>
    </row>
    <row r="19" spans="1:23" ht="20.25" customHeight="1" thickTop="1" thickBot="1" x14ac:dyDescent="0.35">
      <c r="A19" s="48">
        <v>9</v>
      </c>
      <c r="B19" s="319">
        <v>225</v>
      </c>
      <c r="C19" s="49">
        <f>B19*VLOOKUP($A$19,Grape_yield,3,FALSE)</f>
        <v>67.5</v>
      </c>
      <c r="D19" s="50">
        <v>25</v>
      </c>
      <c r="E19" s="51">
        <f>0.57*D19</f>
        <v>14.249999999999998</v>
      </c>
      <c r="F19" s="52">
        <f>(C19/0.75)*0.9</f>
        <v>81</v>
      </c>
      <c r="I19" s="406" t="s">
        <v>39</v>
      </c>
      <c r="J19" s="407"/>
      <c r="K19" s="53">
        <f>(K18-K17)*K16</f>
        <v>43.680000000000007</v>
      </c>
      <c r="T19" s="39"/>
      <c r="V19" s="54">
        <v>24</v>
      </c>
      <c r="W19" s="55">
        <v>0.28000000000000003</v>
      </c>
    </row>
    <row r="20" spans="1:23" ht="20.25" customHeight="1" thickTop="1" x14ac:dyDescent="0.25">
      <c r="A20" s="56"/>
      <c r="B20" s="57"/>
      <c r="C20" s="57"/>
      <c r="D20" s="57"/>
      <c r="E20" s="58"/>
      <c r="F20" s="58"/>
      <c r="I20" s="59"/>
      <c r="T20" s="39"/>
      <c r="V20" s="60">
        <v>25</v>
      </c>
      <c r="W20" s="61">
        <v>0.3</v>
      </c>
    </row>
    <row r="21" spans="1:23" ht="15" customHeight="1" thickBot="1" x14ac:dyDescent="0.35">
      <c r="A21" s="360" t="s">
        <v>40</v>
      </c>
      <c r="B21" s="360"/>
      <c r="C21" s="360"/>
      <c r="D21" s="360"/>
      <c r="E21" s="360"/>
      <c r="F21" s="62"/>
      <c r="G21" s="360" t="s">
        <v>41</v>
      </c>
      <c r="H21" s="360"/>
      <c r="I21" s="360"/>
      <c r="J21" s="360"/>
      <c r="K21" s="360"/>
      <c r="T21" s="39"/>
      <c r="W21" s="63"/>
    </row>
    <row r="22" spans="1:23" ht="33" customHeight="1" x14ac:dyDescent="0.25">
      <c r="A22" s="10" t="s">
        <v>42</v>
      </c>
      <c r="B22" s="14" t="s">
        <v>43</v>
      </c>
      <c r="C22" s="14" t="s">
        <v>44</v>
      </c>
      <c r="D22" s="64" t="s">
        <v>45</v>
      </c>
      <c r="E22" s="65" t="s">
        <v>46</v>
      </c>
      <c r="G22" s="66" t="s">
        <v>47</v>
      </c>
      <c r="H22" s="67" t="s">
        <v>48</v>
      </c>
      <c r="I22" s="68" t="s">
        <v>49</v>
      </c>
      <c r="J22" s="69" t="s">
        <v>50</v>
      </c>
      <c r="K22" s="70" t="s">
        <v>51</v>
      </c>
      <c r="T22" s="39"/>
      <c r="V22" s="63"/>
      <c r="W22" s="63"/>
    </row>
    <row r="23" spans="1:23" s="1" customFormat="1" ht="18" customHeight="1" thickBot="1" x14ac:dyDescent="0.3">
      <c r="A23" s="71"/>
      <c r="B23" s="72"/>
      <c r="C23" s="73"/>
      <c r="D23" s="74">
        <f>(((C23-B23)*14.979*A23))/1000</f>
        <v>0</v>
      </c>
      <c r="E23" s="75">
        <f>(D23*0.625)+A23</f>
        <v>0</v>
      </c>
      <c r="F23" s="76" t="s">
        <v>52</v>
      </c>
      <c r="G23" s="77">
        <v>30.2</v>
      </c>
      <c r="H23" s="77">
        <v>26</v>
      </c>
      <c r="I23" s="23">
        <v>5.0999999999999996</v>
      </c>
      <c r="J23" s="23"/>
      <c r="K23" s="78">
        <v>60</v>
      </c>
      <c r="T23" s="79"/>
      <c r="V23"/>
      <c r="W23" s="63"/>
    </row>
    <row r="24" spans="1:23" ht="18" customHeight="1" thickBot="1" x14ac:dyDescent="0.3">
      <c r="A24" s="80"/>
      <c r="B24" s="81"/>
      <c r="C24" s="81"/>
      <c r="D24" s="82">
        <f>((C24-B24)*A24/(100-C24))</f>
        <v>0</v>
      </c>
      <c r="E24" s="83"/>
      <c r="F24" s="76" t="s">
        <v>53</v>
      </c>
      <c r="G24" s="84">
        <v>1</v>
      </c>
      <c r="H24" s="85">
        <v>0</v>
      </c>
      <c r="I24" s="86">
        <v>0</v>
      </c>
      <c r="J24" s="84"/>
      <c r="K24" s="87">
        <v>0</v>
      </c>
      <c r="S24" s="39"/>
    </row>
    <row r="25" spans="1:23" ht="33" customHeight="1" thickTop="1" thickBot="1" x14ac:dyDescent="0.3">
      <c r="A25" s="88" t="s">
        <v>54</v>
      </c>
      <c r="B25" s="89" t="s">
        <v>55</v>
      </c>
      <c r="C25" s="89" t="s">
        <v>56</v>
      </c>
      <c r="D25" s="90" t="s">
        <v>57</v>
      </c>
      <c r="E25" s="91"/>
      <c r="F25" s="92" t="s">
        <v>58</v>
      </c>
      <c r="G25" s="93">
        <f>IF(G23="","",SUM(G23:G24))</f>
        <v>31.2</v>
      </c>
      <c r="H25" s="94">
        <f>IF(H23="","",(G23*H23+G24*H24)/G25)</f>
        <v>25.166666666666664</v>
      </c>
      <c r="I25" s="94">
        <f>IF(I23="","",(G23*I23+G24*I24)/G25)</f>
        <v>4.9365384615384613</v>
      </c>
      <c r="J25" s="94" t="str">
        <f>IF(J23="","",-LOG((G23*10^-J23+G24*10^-J24)/G25))</f>
        <v/>
      </c>
      <c r="K25" s="95">
        <f>IF(K23="","",(G23*K23+G24*K24)/G25)</f>
        <v>58.07692307692308</v>
      </c>
      <c r="R25" s="39"/>
    </row>
    <row r="26" spans="1:23" ht="38.25" customHeight="1" thickBot="1" x14ac:dyDescent="0.35">
      <c r="A26" s="378" t="s">
        <v>59</v>
      </c>
      <c r="B26" s="378"/>
      <c r="C26" s="378"/>
      <c r="D26" s="378"/>
      <c r="E26" s="96" t="s">
        <v>60</v>
      </c>
      <c r="G26" s="379" t="s">
        <v>61</v>
      </c>
      <c r="H26" s="379"/>
      <c r="I26" s="379"/>
      <c r="J26" s="379"/>
      <c r="K26" s="379"/>
      <c r="S26" s="39"/>
    </row>
    <row r="27" spans="1:23" ht="22.5" customHeight="1" thickBot="1" x14ac:dyDescent="0.3">
      <c r="A27" s="97" t="s">
        <v>62</v>
      </c>
      <c r="B27" s="98">
        <v>25</v>
      </c>
      <c r="C27" s="99" t="s">
        <v>63</v>
      </c>
      <c r="D27" s="100">
        <v>31.2</v>
      </c>
      <c r="E27" s="4"/>
      <c r="F27" s="101"/>
      <c r="G27" s="380" t="s">
        <v>64</v>
      </c>
      <c r="H27" s="382" t="s">
        <v>65</v>
      </c>
      <c r="I27" s="382" t="s">
        <v>66</v>
      </c>
      <c r="J27" s="382" t="s">
        <v>67</v>
      </c>
      <c r="K27" s="384" t="s">
        <v>68</v>
      </c>
    </row>
    <row r="28" spans="1:23" ht="21.9" customHeight="1" x14ac:dyDescent="0.25">
      <c r="A28" s="386" t="s">
        <v>69</v>
      </c>
      <c r="B28" s="388" t="s">
        <v>70</v>
      </c>
      <c r="C28" s="390" t="s">
        <v>71</v>
      </c>
      <c r="D28" s="392" t="s">
        <v>72</v>
      </c>
      <c r="E28" s="102"/>
      <c r="F28" s="3"/>
      <c r="G28" s="381"/>
      <c r="H28" s="383"/>
      <c r="I28" s="383"/>
      <c r="J28" s="383"/>
      <c r="K28" s="385"/>
    </row>
    <row r="29" spans="1:23" ht="18" customHeight="1" thickBot="1" x14ac:dyDescent="0.3">
      <c r="A29" s="387"/>
      <c r="B29" s="389"/>
      <c r="C29" s="391"/>
      <c r="D29" s="393"/>
      <c r="F29" s="103" t="s">
        <v>73</v>
      </c>
      <c r="G29" s="30">
        <v>70</v>
      </c>
      <c r="H29" s="30">
        <v>15</v>
      </c>
      <c r="I29" s="30">
        <v>15</v>
      </c>
      <c r="J29" s="30">
        <v>0</v>
      </c>
      <c r="K29" s="104">
        <f>SUM(G29:J29)</f>
        <v>100</v>
      </c>
    </row>
    <row r="30" spans="1:23" ht="20.25" customHeight="1" thickTop="1" thickBot="1" x14ac:dyDescent="0.3">
      <c r="A30" s="105">
        <v>14</v>
      </c>
      <c r="B30" s="106">
        <v>162</v>
      </c>
      <c r="C30" s="107">
        <f>(B27*7.5)*VLOOKUP($A$30,Yeast_Table,3,FALSE)</f>
        <v>225</v>
      </c>
      <c r="D30" s="108">
        <f>C30-B30</f>
        <v>63</v>
      </c>
      <c r="E30" s="109"/>
      <c r="F30" s="110" t="s">
        <v>74</v>
      </c>
      <c r="G30" s="53">
        <f>IF($D$35="","",$D$35*G29/100)</f>
        <v>4.3680000000000003</v>
      </c>
      <c r="H30" s="53">
        <f>IF($D$35="","",($D$35*H29/100))</f>
        <v>0.93600000000000005</v>
      </c>
      <c r="I30" s="53">
        <f>IF($D$35="","",$D$35*I29/100)</f>
        <v>0.93600000000000005</v>
      </c>
      <c r="J30" s="53">
        <f>IF($D$35="","",$D$35*J29/100)</f>
        <v>0</v>
      </c>
      <c r="K30" s="111">
        <f>SUM(G30:J30)</f>
        <v>6.24</v>
      </c>
    </row>
    <row r="31" spans="1:23" ht="20.25" customHeight="1" thickTop="1" x14ac:dyDescent="0.25">
      <c r="A31" s="394" t="s">
        <v>75</v>
      </c>
      <c r="B31" s="396" t="s">
        <v>76</v>
      </c>
      <c r="C31" s="398" t="s">
        <v>77</v>
      </c>
      <c r="D31" s="400" t="s">
        <v>78</v>
      </c>
      <c r="E31" s="109"/>
      <c r="F31" s="110" t="s">
        <v>79</v>
      </c>
      <c r="G31" s="112">
        <f>IF($D$36="","",$D$36*G29/100)</f>
        <v>4.3680000000000003</v>
      </c>
      <c r="H31" s="112">
        <f>IF($D$36="","",$D$36*H29/100)</f>
        <v>0.93600000000000005</v>
      </c>
      <c r="I31" s="112">
        <f>IF($D$36="","",$D$36*I29/100)</f>
        <v>0.93600000000000005</v>
      </c>
      <c r="J31" s="113">
        <f>IF($D$36="","",$D$36*J29/100)</f>
        <v>0</v>
      </c>
      <c r="K31" s="114">
        <f>SUM(G31:J31)</f>
        <v>6.24</v>
      </c>
    </row>
    <row r="32" spans="1:23" ht="21" customHeight="1" thickBot="1" x14ac:dyDescent="0.3">
      <c r="A32" s="395"/>
      <c r="B32" s="397"/>
      <c r="C32" s="399"/>
      <c r="D32" s="401"/>
      <c r="E32" s="109"/>
      <c r="F32" s="110" t="s">
        <v>80</v>
      </c>
      <c r="G32" s="115">
        <f>IF($D$37="","",D37*G29/100)</f>
        <v>0</v>
      </c>
      <c r="H32" s="115">
        <f>IF($D$37="","",D37*H29/100)</f>
        <v>0</v>
      </c>
      <c r="I32" s="115">
        <f>IF($D$37="","",D37*I29/100)</f>
        <v>0</v>
      </c>
      <c r="J32" s="115">
        <f>IF($D$37="","",D37*J29/100)</f>
        <v>0</v>
      </c>
      <c r="K32" s="116">
        <f>SUM(G32:J32)</f>
        <v>0</v>
      </c>
    </row>
    <row r="33" spans="1:24" ht="18" customHeight="1" thickTop="1" x14ac:dyDescent="0.25">
      <c r="A33" s="117" t="s">
        <v>81</v>
      </c>
      <c r="B33" s="118">
        <f>IF(B27&lt;=22,0.25,(0.0165*B27)-0.114)</f>
        <v>0.29850000000000004</v>
      </c>
      <c r="C33" s="119" t="s">
        <v>82</v>
      </c>
      <c r="D33" s="120">
        <f>IF(B33="","",B33*$D$27)</f>
        <v>9.3132000000000019</v>
      </c>
      <c r="E33" s="376" t="s">
        <v>83</v>
      </c>
      <c r="F33" s="377"/>
      <c r="G33" s="121">
        <f>B30+C34+(SUM(C35:C37)*G29/100)</f>
        <v>209.59375</v>
      </c>
      <c r="H33" s="122">
        <f>G33+SUM(C35:C37)*(H29/100)</f>
        <v>217.39375000000001</v>
      </c>
      <c r="I33" s="122">
        <f>H33+SUM(C35:C37)*(I29/100)</f>
        <v>225.19375000000002</v>
      </c>
      <c r="J33" s="122">
        <f>I33+SUM(C35:C37)*(J29/100)</f>
        <v>225.19375000000002</v>
      </c>
      <c r="K33" s="123">
        <f>J33</f>
        <v>225.19375000000002</v>
      </c>
      <c r="V33" s="63"/>
    </row>
    <row r="34" spans="1:24" ht="18" customHeight="1" x14ac:dyDescent="0.25">
      <c r="A34" s="124" t="s">
        <v>84</v>
      </c>
      <c r="B34" s="125">
        <f>B33*1.25</f>
        <v>0.37312500000000004</v>
      </c>
      <c r="C34" s="126">
        <f>IF(B34="","",B34*30)</f>
        <v>11.193750000000001</v>
      </c>
      <c r="D34" s="114">
        <f>IF(B34="","",B34*$D$27)</f>
        <v>11.641500000000001</v>
      </c>
      <c r="F34" s="127"/>
      <c r="V34" s="63"/>
    </row>
    <row r="35" spans="1:24" ht="18" customHeight="1" thickBot="1" x14ac:dyDescent="0.35">
      <c r="A35" s="128" t="s">
        <v>85</v>
      </c>
      <c r="B35" s="28">
        <v>0.2</v>
      </c>
      <c r="C35" s="126">
        <f>IF(B35="","",B35*100)</f>
        <v>20</v>
      </c>
      <c r="D35" s="114">
        <f>IF(B35="","",B35*$D$27)</f>
        <v>6.24</v>
      </c>
      <c r="F35" s="129"/>
      <c r="G35" s="360" t="s">
        <v>86</v>
      </c>
      <c r="H35" s="360"/>
      <c r="I35" s="360"/>
      <c r="J35" s="360"/>
      <c r="K35" s="360"/>
    </row>
    <row r="36" spans="1:24" ht="18" customHeight="1" thickBot="1" x14ac:dyDescent="0.3">
      <c r="A36" s="128" t="s">
        <v>87</v>
      </c>
      <c r="B36" s="28">
        <v>0.2</v>
      </c>
      <c r="C36" s="126">
        <f>IF(B36="","",B36*160)</f>
        <v>32</v>
      </c>
      <c r="D36" s="114">
        <f>IF(B36="","",B36*$D$27)</f>
        <v>6.24</v>
      </c>
      <c r="G36" s="130" t="s">
        <v>73</v>
      </c>
      <c r="H36" s="131">
        <v>40</v>
      </c>
      <c r="I36" s="132">
        <v>60</v>
      </c>
      <c r="J36" s="133">
        <v>0</v>
      </c>
      <c r="K36" s="134">
        <f>SUM(H36:J36)</f>
        <v>100</v>
      </c>
      <c r="V36" s="63"/>
      <c r="W36" s="63"/>
    </row>
    <row r="37" spans="1:24" ht="18" customHeight="1" thickBot="1" x14ac:dyDescent="0.3">
      <c r="A37" s="128" t="s">
        <v>88</v>
      </c>
      <c r="B37" s="28">
        <v>0</v>
      </c>
      <c r="C37" s="126">
        <f>IF(B37="","",B37*96)</f>
        <v>0</v>
      </c>
      <c r="D37" s="114">
        <f>IF(B37="","",B37*$D$27)</f>
        <v>0</v>
      </c>
      <c r="G37" s="135" t="s">
        <v>89</v>
      </c>
      <c r="H37" s="136">
        <f>IF($D$39="","",$D$39*H36/100)</f>
        <v>0</v>
      </c>
      <c r="I37" s="137">
        <f>IF($D$39="","",$D$39*I36/100)</f>
        <v>0</v>
      </c>
      <c r="J37" s="137">
        <f>IF($D$39="","",$D$39*J36/100)</f>
        <v>0</v>
      </c>
      <c r="K37" s="138">
        <f>SUM(H37:J37)</f>
        <v>0</v>
      </c>
      <c r="W37" s="63"/>
    </row>
    <row r="38" spans="1:24" ht="18" customHeight="1" thickTop="1" thickBot="1" x14ac:dyDescent="0.3">
      <c r="A38" s="139"/>
      <c r="B38" s="140"/>
      <c r="C38" s="141"/>
      <c r="D38" s="142"/>
      <c r="F38" s="361" t="s">
        <v>90</v>
      </c>
      <c r="G38" s="361"/>
      <c r="H38" s="143">
        <f>C39*(H36/100)</f>
        <v>0</v>
      </c>
      <c r="I38" s="143">
        <f>H38+(C39*I36/100)</f>
        <v>0</v>
      </c>
      <c r="J38" s="143">
        <f>I38+(C39*J36/100)</f>
        <v>0</v>
      </c>
      <c r="K38" s="144">
        <f>J38</f>
        <v>0</v>
      </c>
      <c r="O38" s="145" t="s">
        <v>91</v>
      </c>
      <c r="W38" s="63"/>
    </row>
    <row r="39" spans="1:24" ht="18" customHeight="1" thickTop="1" thickBot="1" x14ac:dyDescent="0.3">
      <c r="A39" s="146" t="s">
        <v>92</v>
      </c>
      <c r="B39" s="32">
        <v>0</v>
      </c>
      <c r="C39" s="147">
        <f>IF(B39="","",B39*212)</f>
        <v>0</v>
      </c>
      <c r="D39" s="134">
        <f>IF(B39="","",B39*$D$27)</f>
        <v>0</v>
      </c>
      <c r="E39" s="148"/>
      <c r="F39" s="362" t="s">
        <v>93</v>
      </c>
      <c r="G39" s="362"/>
      <c r="H39" s="149">
        <f>SUM(H33+H38)</f>
        <v>217.39375000000001</v>
      </c>
      <c r="I39" s="149">
        <f>SUM(I33+I38)</f>
        <v>225.19375000000002</v>
      </c>
      <c r="J39" s="149">
        <f>SUM(J33+J38)</f>
        <v>225.19375000000002</v>
      </c>
      <c r="K39" s="123">
        <f>SUM(K33,K38)</f>
        <v>225.19375000000002</v>
      </c>
      <c r="N39" s="40" t="s">
        <v>94</v>
      </c>
      <c r="O39" s="40" t="s">
        <v>95</v>
      </c>
      <c r="Q39" s="150" t="s">
        <v>96</v>
      </c>
      <c r="W39" s="63"/>
    </row>
    <row r="40" spans="1:24" ht="18" customHeight="1" thickTop="1" thickBot="1" x14ac:dyDescent="0.3">
      <c r="A40" s="363" t="s">
        <v>97</v>
      </c>
      <c r="B40" s="363"/>
      <c r="C40" s="151">
        <f>SUM(C34:C39)</f>
        <v>63.193750000000001</v>
      </c>
      <c r="D40" s="152"/>
      <c r="N40" s="153">
        <v>20</v>
      </c>
      <c r="O40" s="153">
        <v>150</v>
      </c>
      <c r="V40" s="63"/>
      <c r="W40" s="63"/>
    </row>
    <row r="41" spans="1:24" ht="18" customHeight="1" thickTop="1" x14ac:dyDescent="0.25">
      <c r="A41" s="364" t="s">
        <v>98</v>
      </c>
      <c r="B41" s="364"/>
      <c r="C41" s="365"/>
      <c r="D41" s="152"/>
      <c r="F41" s="154"/>
      <c r="L41" s="155"/>
      <c r="N41" s="153">
        <v>22</v>
      </c>
      <c r="O41" s="153">
        <v>165</v>
      </c>
      <c r="W41" s="63"/>
    </row>
    <row r="42" spans="1:24" ht="12.75" customHeight="1" x14ac:dyDescent="0.25">
      <c r="F42" s="154"/>
      <c r="N42" s="153">
        <v>24</v>
      </c>
      <c r="O42" s="153">
        <v>180</v>
      </c>
    </row>
    <row r="43" spans="1:24" ht="22.5" customHeight="1" thickBot="1" x14ac:dyDescent="0.35">
      <c r="A43" s="156"/>
      <c r="D43" s="9"/>
      <c r="E43" s="157" t="s">
        <v>99</v>
      </c>
      <c r="F43" s="157"/>
      <c r="G43" s="9"/>
      <c r="H43" s="158"/>
      <c r="I43" s="158"/>
      <c r="N43" s="153">
        <v>26</v>
      </c>
      <c r="O43" s="153">
        <v>195</v>
      </c>
      <c r="X43" s="145"/>
    </row>
    <row r="44" spans="1:24" ht="58.5" customHeight="1" thickTop="1" x14ac:dyDescent="0.3">
      <c r="A44" s="159" t="s">
        <v>100</v>
      </c>
      <c r="B44" s="68" t="s">
        <v>101</v>
      </c>
      <c r="C44" s="69" t="s">
        <v>102</v>
      </c>
      <c r="D44" s="160" t="s">
        <v>103</v>
      </c>
      <c r="E44" s="366" t="s">
        <v>104</v>
      </c>
      <c r="F44" s="367"/>
      <c r="G44" s="368" t="s">
        <v>100</v>
      </c>
      <c r="H44" s="370" t="s">
        <v>105</v>
      </c>
      <c r="I44" s="371"/>
      <c r="J44" s="372" t="s">
        <v>102</v>
      </c>
      <c r="K44" s="374" t="s">
        <v>103</v>
      </c>
    </row>
    <row r="45" spans="1:24" ht="18" customHeight="1" x14ac:dyDescent="0.25">
      <c r="A45" s="161" t="s">
        <v>106</v>
      </c>
      <c r="B45" s="162" t="s">
        <v>107</v>
      </c>
      <c r="C45" s="163">
        <v>1.4999999999999999E-2</v>
      </c>
      <c r="D45" s="164">
        <f>$E$48*C45</f>
        <v>1.74</v>
      </c>
      <c r="E45" s="349" t="s">
        <v>108</v>
      </c>
      <c r="F45" s="350"/>
      <c r="G45" s="369"/>
      <c r="H45" s="165" t="s">
        <v>109</v>
      </c>
      <c r="I45" s="166" t="s">
        <v>110</v>
      </c>
      <c r="J45" s="373"/>
      <c r="K45" s="375"/>
    </row>
    <row r="46" spans="1:24" ht="18" customHeight="1" thickBot="1" x14ac:dyDescent="0.3">
      <c r="A46" s="167" t="s">
        <v>111</v>
      </c>
      <c r="B46" s="168" t="s">
        <v>112</v>
      </c>
      <c r="C46" s="169">
        <v>5.0000000000000001E-3</v>
      </c>
      <c r="D46" s="164">
        <f>$E$48*C46</f>
        <v>0.57999999999999996</v>
      </c>
      <c r="E46" s="351">
        <v>31.2</v>
      </c>
      <c r="F46" s="352"/>
      <c r="G46" s="170" t="s">
        <v>113</v>
      </c>
      <c r="H46" s="162" t="s">
        <v>114</v>
      </c>
      <c r="I46" s="168" t="s">
        <v>115</v>
      </c>
      <c r="J46" s="163">
        <v>0.03</v>
      </c>
      <c r="K46" s="171">
        <f>$E$48*J46</f>
        <v>3.48</v>
      </c>
    </row>
    <row r="47" spans="1:24" ht="18" customHeight="1" x14ac:dyDescent="0.25">
      <c r="A47" s="167" t="s">
        <v>116</v>
      </c>
      <c r="B47" s="168" t="s">
        <v>117</v>
      </c>
      <c r="C47" s="172">
        <v>0.01</v>
      </c>
      <c r="D47" s="164">
        <f>$E$48*C47</f>
        <v>1.1599999999999999</v>
      </c>
      <c r="E47" s="353" t="s">
        <v>118</v>
      </c>
      <c r="F47" s="354"/>
      <c r="G47" s="170" t="s">
        <v>119</v>
      </c>
      <c r="H47" s="168" t="s">
        <v>120</v>
      </c>
      <c r="I47" s="168" t="s">
        <v>121</v>
      </c>
      <c r="J47" s="173">
        <v>0.05</v>
      </c>
      <c r="K47" s="174">
        <f t="shared" ref="K47:K63" si="3">$E$46*J47</f>
        <v>1.56</v>
      </c>
      <c r="M47" s="150"/>
      <c r="N47" s="175"/>
    </row>
    <row r="48" spans="1:24" ht="18" customHeight="1" thickBot="1" x14ac:dyDescent="0.3">
      <c r="A48" s="167" t="s">
        <v>122</v>
      </c>
      <c r="B48" s="176" t="s">
        <v>123</v>
      </c>
      <c r="C48" s="177">
        <v>0.02</v>
      </c>
      <c r="D48" s="164">
        <f>$E$48*C48</f>
        <v>2.3199999999999998</v>
      </c>
      <c r="E48" s="355">
        <v>116</v>
      </c>
      <c r="F48" s="356"/>
      <c r="G48" s="178" t="s">
        <v>124</v>
      </c>
      <c r="H48" s="162"/>
      <c r="I48" s="162" t="s">
        <v>125</v>
      </c>
      <c r="J48" s="179">
        <v>0.4</v>
      </c>
      <c r="K48" s="180">
        <f t="shared" si="3"/>
        <v>12.48</v>
      </c>
      <c r="M48" s="175"/>
    </row>
    <row r="49" spans="1:15" ht="18" customHeight="1" thickTop="1" x14ac:dyDescent="0.25">
      <c r="A49" s="167" t="s">
        <v>126</v>
      </c>
      <c r="B49" s="168" t="s">
        <v>127</v>
      </c>
      <c r="C49" s="169">
        <v>1.4999999999999999E-2</v>
      </c>
      <c r="D49" s="181">
        <f>$E$48*C49</f>
        <v>1.74</v>
      </c>
      <c r="E49" s="182"/>
      <c r="G49" s="167" t="s">
        <v>128</v>
      </c>
      <c r="H49" s="162" t="s">
        <v>129</v>
      </c>
      <c r="I49" s="183" t="s">
        <v>130</v>
      </c>
      <c r="J49" s="177">
        <v>0.1</v>
      </c>
      <c r="K49" s="184">
        <f t="shared" si="3"/>
        <v>3.12</v>
      </c>
    </row>
    <row r="50" spans="1:15" ht="18" customHeight="1" x14ac:dyDescent="0.25">
      <c r="A50" s="167" t="s">
        <v>131</v>
      </c>
      <c r="B50" s="176" t="s">
        <v>132</v>
      </c>
      <c r="C50" s="169">
        <v>0.01</v>
      </c>
      <c r="D50" s="181">
        <f>$E$46*C50</f>
        <v>0.312</v>
      </c>
      <c r="E50" s="182"/>
      <c r="G50" s="185" t="s">
        <v>133</v>
      </c>
      <c r="H50" s="168" t="s">
        <v>134</v>
      </c>
      <c r="I50" s="168" t="s">
        <v>135</v>
      </c>
      <c r="J50" s="177">
        <v>0.1</v>
      </c>
      <c r="K50" s="181">
        <f t="shared" si="3"/>
        <v>3.12</v>
      </c>
    </row>
    <row r="51" spans="1:15" ht="18" customHeight="1" x14ac:dyDescent="0.25">
      <c r="A51" s="167" t="s">
        <v>136</v>
      </c>
      <c r="B51" s="168" t="s">
        <v>137</v>
      </c>
      <c r="C51" s="186">
        <v>0.35</v>
      </c>
      <c r="D51" s="181">
        <f t="shared" ref="D51:D63" si="4">$E$46*C51</f>
        <v>10.92</v>
      </c>
      <c r="E51" s="182"/>
      <c r="G51" s="187" t="s">
        <v>138</v>
      </c>
      <c r="H51" s="188" t="s">
        <v>139</v>
      </c>
      <c r="I51" s="188"/>
      <c r="J51" s="177">
        <v>0.3</v>
      </c>
      <c r="K51" s="181">
        <f t="shared" si="3"/>
        <v>9.36</v>
      </c>
    </row>
    <row r="52" spans="1:15" ht="18" customHeight="1" x14ac:dyDescent="0.25">
      <c r="A52" s="189" t="s">
        <v>140</v>
      </c>
      <c r="B52" s="190" t="s">
        <v>141</v>
      </c>
      <c r="C52" s="191">
        <v>0.25</v>
      </c>
      <c r="D52" s="181">
        <f t="shared" si="4"/>
        <v>7.8</v>
      </c>
      <c r="E52" s="182"/>
      <c r="G52" s="167" t="s">
        <v>142</v>
      </c>
      <c r="H52" s="168" t="s">
        <v>143</v>
      </c>
      <c r="I52" s="168" t="s">
        <v>144</v>
      </c>
      <c r="J52" s="186">
        <v>0.1</v>
      </c>
      <c r="K52" s="181">
        <f t="shared" si="3"/>
        <v>3.12</v>
      </c>
      <c r="L52" s="192"/>
    </row>
    <row r="53" spans="1:15" ht="18" customHeight="1" x14ac:dyDescent="0.25">
      <c r="A53" s="167" t="s">
        <v>145</v>
      </c>
      <c r="B53" s="168" t="s">
        <v>139</v>
      </c>
      <c r="C53" s="179">
        <v>0.3</v>
      </c>
      <c r="D53" s="181">
        <f t="shared" si="4"/>
        <v>9.36</v>
      </c>
      <c r="E53" s="182" t="s">
        <v>60</v>
      </c>
      <c r="G53" s="167" t="s">
        <v>146</v>
      </c>
      <c r="H53" s="153" t="s">
        <v>147</v>
      </c>
      <c r="I53" s="168" t="s">
        <v>148</v>
      </c>
      <c r="J53" s="191">
        <v>0.2</v>
      </c>
      <c r="K53" s="181">
        <f t="shared" si="3"/>
        <v>6.24</v>
      </c>
    </row>
    <row r="54" spans="1:15" ht="18" customHeight="1" x14ac:dyDescent="0.25">
      <c r="A54" s="167" t="s">
        <v>149</v>
      </c>
      <c r="B54" s="176" t="s">
        <v>150</v>
      </c>
      <c r="C54" s="179">
        <v>0.3</v>
      </c>
      <c r="D54" s="181">
        <f t="shared" si="4"/>
        <v>9.36</v>
      </c>
      <c r="E54" s="182"/>
      <c r="G54" s="167" t="s">
        <v>151</v>
      </c>
      <c r="H54" s="168" t="s">
        <v>152</v>
      </c>
      <c r="I54" s="168" t="s">
        <v>152</v>
      </c>
      <c r="J54" s="179">
        <v>1</v>
      </c>
      <c r="K54" s="181">
        <f t="shared" si="3"/>
        <v>31.2</v>
      </c>
    </row>
    <row r="55" spans="1:15" ht="18" customHeight="1" x14ac:dyDescent="0.25">
      <c r="A55" s="167" t="s">
        <v>153</v>
      </c>
      <c r="B55" s="168" t="s">
        <v>147</v>
      </c>
      <c r="C55" s="179">
        <v>0.2</v>
      </c>
      <c r="D55" s="181">
        <f t="shared" si="4"/>
        <v>6.24</v>
      </c>
      <c r="E55" s="182"/>
      <c r="G55" s="167" t="s">
        <v>154</v>
      </c>
      <c r="H55" s="168" t="s">
        <v>152</v>
      </c>
      <c r="I55" s="168" t="s">
        <v>152</v>
      </c>
      <c r="J55" s="179">
        <v>1</v>
      </c>
      <c r="K55" s="181">
        <f t="shared" si="3"/>
        <v>31.2</v>
      </c>
    </row>
    <row r="56" spans="1:15" ht="18" customHeight="1" x14ac:dyDescent="0.25">
      <c r="A56" s="167" t="s">
        <v>155</v>
      </c>
      <c r="B56" s="176" t="s">
        <v>147</v>
      </c>
      <c r="C56" s="177">
        <v>0.2</v>
      </c>
      <c r="D56" s="181">
        <f t="shared" si="4"/>
        <v>6.24</v>
      </c>
      <c r="E56" s="182"/>
      <c r="G56" s="193" t="s">
        <v>156</v>
      </c>
      <c r="H56" s="162" t="s">
        <v>157</v>
      </c>
      <c r="I56" s="162"/>
      <c r="J56" s="179">
        <v>0.25</v>
      </c>
      <c r="K56" s="181">
        <f t="shared" si="3"/>
        <v>7.8</v>
      </c>
    </row>
    <row r="57" spans="1:15" ht="18" customHeight="1" x14ac:dyDescent="0.25">
      <c r="A57" s="167" t="s">
        <v>158</v>
      </c>
      <c r="B57" s="194" t="s">
        <v>159</v>
      </c>
      <c r="C57" s="195">
        <v>0.15</v>
      </c>
      <c r="D57" s="181">
        <f t="shared" si="4"/>
        <v>4.68</v>
      </c>
      <c r="E57" s="182"/>
      <c r="G57" s="167" t="s">
        <v>160</v>
      </c>
      <c r="H57" s="162" t="s">
        <v>161</v>
      </c>
      <c r="I57" s="162"/>
      <c r="J57" s="177">
        <v>0.8</v>
      </c>
      <c r="K57" s="181">
        <f t="shared" si="3"/>
        <v>24.96</v>
      </c>
      <c r="M57" s="150"/>
    </row>
    <row r="58" spans="1:15" ht="18" customHeight="1" x14ac:dyDescent="0.25">
      <c r="A58" s="167" t="s">
        <v>162</v>
      </c>
      <c r="B58" s="162" t="s">
        <v>163</v>
      </c>
      <c r="C58" s="195">
        <v>0.15</v>
      </c>
      <c r="D58" s="181">
        <f t="shared" si="4"/>
        <v>4.68</v>
      </c>
      <c r="E58" s="182"/>
      <c r="G58" s="187" t="s">
        <v>164</v>
      </c>
      <c r="H58" s="188" t="s">
        <v>165</v>
      </c>
      <c r="I58" s="168"/>
      <c r="J58" s="195">
        <v>0.5</v>
      </c>
      <c r="K58" s="181">
        <f t="shared" si="3"/>
        <v>15.6</v>
      </c>
      <c r="M58" s="196" t="s">
        <v>166</v>
      </c>
    </row>
    <row r="59" spans="1:15" ht="18" customHeight="1" x14ac:dyDescent="0.25">
      <c r="A59" s="187" t="s">
        <v>167</v>
      </c>
      <c r="B59" s="197" t="s">
        <v>144</v>
      </c>
      <c r="C59" s="198">
        <v>0.1</v>
      </c>
      <c r="D59" s="199">
        <f>$E$46*C59</f>
        <v>3.12</v>
      </c>
      <c r="E59" s="182"/>
      <c r="G59" s="167" t="s">
        <v>168</v>
      </c>
      <c r="H59" s="197" t="s">
        <v>150</v>
      </c>
      <c r="I59" s="162" t="s">
        <v>150</v>
      </c>
      <c r="J59" s="200">
        <v>0.375</v>
      </c>
      <c r="K59" s="181">
        <f t="shared" si="3"/>
        <v>11.7</v>
      </c>
      <c r="M59" s="201" t="s">
        <v>169</v>
      </c>
    </row>
    <row r="60" spans="1:15" ht="18" customHeight="1" x14ac:dyDescent="0.25">
      <c r="A60" s="187" t="s">
        <v>170</v>
      </c>
      <c r="B60" s="197" t="s">
        <v>171</v>
      </c>
      <c r="C60" s="198">
        <v>0.02</v>
      </c>
      <c r="D60" s="181">
        <f t="shared" si="4"/>
        <v>0.624</v>
      </c>
      <c r="E60" s="182"/>
      <c r="G60" s="187" t="s">
        <v>172</v>
      </c>
      <c r="H60" s="197" t="s">
        <v>173</v>
      </c>
      <c r="I60" s="188"/>
      <c r="J60" s="202">
        <v>0.15</v>
      </c>
      <c r="K60" s="181">
        <f t="shared" si="3"/>
        <v>4.68</v>
      </c>
      <c r="M60" s="201" t="s">
        <v>174</v>
      </c>
    </row>
    <row r="61" spans="1:15" ht="18" customHeight="1" x14ac:dyDescent="0.25">
      <c r="A61" s="187" t="s">
        <v>175</v>
      </c>
      <c r="B61" s="168" t="s">
        <v>176</v>
      </c>
      <c r="C61" s="203">
        <v>1.4999999999999999E-2</v>
      </c>
      <c r="D61" s="181">
        <f>$E$46*C61</f>
        <v>0.46799999999999997</v>
      </c>
      <c r="E61" s="182"/>
      <c r="G61" s="187" t="s">
        <v>177</v>
      </c>
      <c r="H61" s="357" t="s">
        <v>178</v>
      </c>
      <c r="I61" s="358"/>
      <c r="J61" s="204">
        <v>12</v>
      </c>
      <c r="K61" s="205">
        <f>$E$46*(-25*J61+400)*1.35/1000</f>
        <v>4.2119999999999997</v>
      </c>
      <c r="L61" s="206"/>
      <c r="M61" s="201" t="s">
        <v>179</v>
      </c>
    </row>
    <row r="62" spans="1:15" ht="18" customHeight="1" x14ac:dyDescent="0.25">
      <c r="A62" s="187" t="s">
        <v>180</v>
      </c>
      <c r="B62" s="197" t="s">
        <v>181</v>
      </c>
      <c r="C62" s="198">
        <v>0.05</v>
      </c>
      <c r="D62" s="207">
        <f t="shared" si="4"/>
        <v>1.56</v>
      </c>
      <c r="E62" s="182"/>
      <c r="G62" s="187" t="s">
        <v>182</v>
      </c>
      <c r="H62" s="197" t="s">
        <v>183</v>
      </c>
      <c r="I62" s="197"/>
      <c r="J62" s="198">
        <v>0.5</v>
      </c>
      <c r="K62" s="207">
        <f t="shared" si="3"/>
        <v>15.6</v>
      </c>
      <c r="L62" s="206"/>
    </row>
    <row r="63" spans="1:15" ht="18" customHeight="1" thickBot="1" x14ac:dyDescent="0.3">
      <c r="A63" s="208" t="s">
        <v>184</v>
      </c>
      <c r="B63" s="209" t="s">
        <v>185</v>
      </c>
      <c r="C63" s="210">
        <v>0.4</v>
      </c>
      <c r="D63" s="211">
        <f t="shared" si="4"/>
        <v>12.48</v>
      </c>
      <c r="E63" s="182"/>
      <c r="G63" s="212" t="s">
        <v>186</v>
      </c>
      <c r="H63" s="213" t="s">
        <v>187</v>
      </c>
      <c r="I63" s="213" t="s">
        <v>187</v>
      </c>
      <c r="J63" s="214">
        <v>0.04</v>
      </c>
      <c r="K63" s="215">
        <f t="shared" si="3"/>
        <v>1.248</v>
      </c>
      <c r="L63" s="206"/>
    </row>
    <row r="64" spans="1:15" ht="15" customHeight="1" x14ac:dyDescent="0.3">
      <c r="E64" s="216"/>
      <c r="F64" s="216"/>
      <c r="L64" s="206"/>
      <c r="N64" s="359" t="s">
        <v>188</v>
      </c>
      <c r="O64" s="359"/>
    </row>
    <row r="65" spans="1:23" ht="18.899999999999999" customHeight="1" x14ac:dyDescent="0.25">
      <c r="A65" s="217"/>
      <c r="B65" s="337" t="s">
        <v>189</v>
      </c>
      <c r="C65" s="337"/>
      <c r="D65" s="338" t="s">
        <v>190</v>
      </c>
      <c r="E65" s="338"/>
      <c r="F65" s="338"/>
      <c r="G65" s="218"/>
      <c r="H65" s="218"/>
      <c r="I65" s="219" t="s">
        <v>191</v>
      </c>
      <c r="J65" s="220"/>
      <c r="K65" s="220"/>
      <c r="L65" s="206"/>
      <c r="M65" s="339" t="s">
        <v>192</v>
      </c>
      <c r="N65" s="339"/>
      <c r="O65" s="339"/>
      <c r="P65" s="347" t="s">
        <v>193</v>
      </c>
      <c r="Q65" s="347"/>
    </row>
    <row r="66" spans="1:23" ht="18.899999999999999" customHeight="1" x14ac:dyDescent="0.25">
      <c r="B66" s="221" t="s">
        <v>194</v>
      </c>
      <c r="C66" s="222">
        <v>3.55</v>
      </c>
      <c r="D66" s="338"/>
      <c r="E66" s="338"/>
      <c r="F66" s="338"/>
      <c r="H66" s="223" t="s">
        <v>195</v>
      </c>
      <c r="I66" s="341">
        <v>55</v>
      </c>
      <c r="J66" s="224" t="s">
        <v>196</v>
      </c>
      <c r="K66" s="216"/>
      <c r="L66" s="206"/>
      <c r="M66" s="340"/>
      <c r="N66" s="340"/>
      <c r="O66" s="340"/>
      <c r="P66" s="348"/>
      <c r="Q66" s="348"/>
    </row>
    <row r="67" spans="1:23" ht="18.899999999999999" customHeight="1" x14ac:dyDescent="0.25">
      <c r="A67" t="s">
        <v>60</v>
      </c>
      <c r="B67" s="221" t="s">
        <v>197</v>
      </c>
      <c r="C67" s="225">
        <v>12.5</v>
      </c>
      <c r="D67" s="226"/>
      <c r="E67" s="76" t="s">
        <v>198</v>
      </c>
      <c r="F67" s="225">
        <v>26.1</v>
      </c>
      <c r="H67" s="227">
        <f>(I66-32)*5/9</f>
        <v>12.777777777777779</v>
      </c>
      <c r="I67" s="342"/>
      <c r="J67" s="228">
        <f>I66*9/5+32</f>
        <v>131</v>
      </c>
      <c r="K67" s="229"/>
      <c r="L67" s="206"/>
      <c r="M67" s="230">
        <v>1</v>
      </c>
      <c r="N67" s="231">
        <v>43</v>
      </c>
      <c r="O67" s="176">
        <v>1</v>
      </c>
      <c r="P67" s="153" t="s">
        <v>199</v>
      </c>
      <c r="Q67" s="232"/>
    </row>
    <row r="68" spans="1:23" ht="18.899999999999999" customHeight="1" x14ac:dyDescent="0.25">
      <c r="B68" s="221" t="s">
        <v>200</v>
      </c>
      <c r="C68" s="222">
        <v>13.5</v>
      </c>
      <c r="D68" s="226"/>
      <c r="E68" s="76" t="s">
        <v>201</v>
      </c>
      <c r="F68" s="225">
        <v>10.8</v>
      </c>
      <c r="H68" s="223" t="s">
        <v>202</v>
      </c>
      <c r="I68" s="341">
        <v>3.7850000000000001</v>
      </c>
      <c r="J68" s="224" t="s">
        <v>203</v>
      </c>
      <c r="K68" s="233"/>
      <c r="L68" s="206"/>
      <c r="M68" s="234">
        <v>2</v>
      </c>
      <c r="N68" s="40">
        <v>3001</v>
      </c>
      <c r="O68" s="176">
        <v>1.2</v>
      </c>
      <c r="P68" s="153" t="s">
        <v>204</v>
      </c>
      <c r="Q68" s="232"/>
      <c r="R68" s="235" t="s">
        <v>205</v>
      </c>
    </row>
    <row r="69" spans="1:23" ht="18.899999999999999" customHeight="1" x14ac:dyDescent="0.25">
      <c r="B69" s="221" t="s">
        <v>206</v>
      </c>
      <c r="C69" s="222">
        <v>0.8</v>
      </c>
      <c r="D69" s="226"/>
      <c r="E69" s="236" t="s">
        <v>207</v>
      </c>
      <c r="F69" s="237">
        <f>IF(F67&gt;0,-676.67+1286.4*F70-800.47*(F70^2)+190.74*(F70^3),0)</f>
        <v>0.398336645573238</v>
      </c>
      <c r="H69" s="238">
        <f>I68*3.785</f>
        <v>14.326225000000001</v>
      </c>
      <c r="I69" s="342"/>
      <c r="J69" s="239">
        <f>I68/3.785</f>
        <v>1</v>
      </c>
      <c r="K69" s="233"/>
      <c r="L69" s="206"/>
      <c r="M69" s="230">
        <v>3</v>
      </c>
      <c r="N69" s="40">
        <v>4600</v>
      </c>
      <c r="O69" s="176">
        <v>1</v>
      </c>
      <c r="P69" s="153" t="s">
        <v>199</v>
      </c>
      <c r="Q69" s="232"/>
      <c r="R69" s="235"/>
    </row>
    <row r="70" spans="1:23" ht="18.899999999999999" customHeight="1" x14ac:dyDescent="0.25">
      <c r="B70" s="221" t="s">
        <v>208</v>
      </c>
      <c r="C70" s="222">
        <v>4.54</v>
      </c>
      <c r="D70" s="240"/>
      <c r="E70" s="241" t="s">
        <v>209</v>
      </c>
      <c r="F70" s="242">
        <f>IF(F68&gt;0,(1.001843-0.002318474*(F67)-0.000007775*(F67^2)-0.000000034*(F67^3)+0.00574*(F68)+0.00003344*(F68^2)+0.000000086*(F68^3))+(1.313454-0.132674*F68+0.002057793*(F68^2)-0.000002627634*(F68^3))*0.001,0)</f>
        <v>1.0015479776414387</v>
      </c>
      <c r="H70" s="243" t="s">
        <v>210</v>
      </c>
      <c r="I70" s="343">
        <v>-3.1</v>
      </c>
      <c r="J70" s="244" t="s">
        <v>211</v>
      </c>
      <c r="K70" s="233"/>
      <c r="L70" s="206"/>
      <c r="M70" s="234">
        <v>4</v>
      </c>
      <c r="N70" s="245" t="s">
        <v>212</v>
      </c>
      <c r="O70" s="176">
        <v>1.2</v>
      </c>
      <c r="P70" s="153" t="s">
        <v>204</v>
      </c>
      <c r="Q70" s="232"/>
      <c r="R70" s="235"/>
    </row>
    <row r="71" spans="1:23" ht="18.899999999999999" customHeight="1" x14ac:dyDescent="0.25">
      <c r="A71" s="246" t="s">
        <v>213</v>
      </c>
      <c r="B71" s="247"/>
      <c r="C71" s="222">
        <v>8</v>
      </c>
      <c r="D71" s="240"/>
      <c r="E71" s="241" t="s">
        <v>214</v>
      </c>
      <c r="F71" s="237">
        <f>IF(F68="","",1017.5596-(277.4*F70)+(1.33302+0.001427193*F68+0.000005791157*F68*F68)*((937.8135*(1.33302+0.001427193*F68+0.000005791157*F68*F68))-1805.1228))*(F70/0.794)</f>
        <v>14.294947184598568</v>
      </c>
      <c r="G71" s="229"/>
      <c r="H71" s="238">
        <f>0.00000005785037196*I70^3+0.00001261831344*I70^2+0.003873042366*I70+0.9999994636</f>
        <v>0.98811257083712734</v>
      </c>
      <c r="I71" s="344"/>
      <c r="J71" s="228">
        <f>182.4601*I70^3-775.6821*I70^2+1262.7794*I70-669.5622</f>
        <v>-17474.152160100002</v>
      </c>
      <c r="K71" s="233"/>
      <c r="L71" s="206"/>
      <c r="M71" s="230">
        <v>5</v>
      </c>
      <c r="N71" s="245" t="s">
        <v>215</v>
      </c>
      <c r="O71" s="176">
        <v>1</v>
      </c>
      <c r="P71" s="153" t="s">
        <v>199</v>
      </c>
      <c r="Q71" s="232"/>
      <c r="R71" s="1" t="s">
        <v>216</v>
      </c>
      <c r="S71" s="248"/>
      <c r="U71" s="249"/>
      <c r="W71" s="249"/>
    </row>
    <row r="72" spans="1:23" ht="18.899999999999999" customHeight="1" x14ac:dyDescent="0.25">
      <c r="A72" s="345" t="s">
        <v>217</v>
      </c>
      <c r="B72" s="346"/>
      <c r="C72" s="222">
        <v>0</v>
      </c>
      <c r="D72" s="250"/>
      <c r="E72" s="251"/>
      <c r="G72" s="252"/>
      <c r="H72" s="253"/>
      <c r="I72" s="254"/>
      <c r="J72" s="255"/>
      <c r="K72" s="233"/>
      <c r="L72" s="206"/>
      <c r="M72" s="230">
        <v>6</v>
      </c>
      <c r="N72" s="245" t="s">
        <v>218</v>
      </c>
      <c r="O72" s="176">
        <v>1</v>
      </c>
      <c r="P72" s="153" t="s">
        <v>199</v>
      </c>
      <c r="Q72" s="256">
        <v>1</v>
      </c>
      <c r="R72" s="1" t="s">
        <v>219</v>
      </c>
      <c r="S72" s="248"/>
      <c r="W72" s="249"/>
    </row>
    <row r="73" spans="1:23" ht="18.899999999999999" customHeight="1" x14ac:dyDescent="0.25">
      <c r="A73" s="257" t="s">
        <v>220</v>
      </c>
      <c r="B73" s="247"/>
      <c r="C73" s="237">
        <f>C69*(POWER(10,$C66-(1.92+((C67-10)*0.02)+((C68-20)*0.031))))*(C72/100+1)</f>
        <v>48.371548107580765</v>
      </c>
      <c r="D73" s="226"/>
      <c r="E73" s="229"/>
      <c r="F73" s="229"/>
      <c r="G73" s="258" t="s">
        <v>221</v>
      </c>
      <c r="H73" s="258"/>
      <c r="I73" s="258"/>
      <c r="J73" s="259"/>
      <c r="K73" s="233"/>
      <c r="L73" s="206"/>
      <c r="M73" s="230">
        <v>7</v>
      </c>
      <c r="N73" s="245" t="s">
        <v>222</v>
      </c>
      <c r="O73" s="176">
        <v>1.67</v>
      </c>
      <c r="P73" s="153" t="s">
        <v>223</v>
      </c>
      <c r="Q73" s="256"/>
      <c r="R73" s="1" t="s">
        <v>224</v>
      </c>
      <c r="S73" s="248"/>
      <c r="W73" s="249"/>
    </row>
    <row r="74" spans="1:23" ht="18.899999999999999" customHeight="1" x14ac:dyDescent="0.25">
      <c r="A74" s="257" t="s">
        <v>225</v>
      </c>
      <c r="B74" s="247"/>
      <c r="C74" s="260">
        <f>((C73-C71)*C70)/576</f>
        <v>0.31820629932016786</v>
      </c>
      <c r="D74" s="226"/>
      <c r="E74" s="335" t="s">
        <v>226</v>
      </c>
      <c r="F74" s="335"/>
      <c r="G74" s="336"/>
      <c r="H74" s="261">
        <v>375</v>
      </c>
      <c r="I74" s="262">
        <f>H74/1000</f>
        <v>0.375</v>
      </c>
      <c r="J74" s="263" t="s">
        <v>227</v>
      </c>
      <c r="K74" s="233"/>
      <c r="L74" s="206"/>
      <c r="M74" s="234">
        <v>8</v>
      </c>
      <c r="N74" s="245" t="s">
        <v>228</v>
      </c>
      <c r="O74" s="176">
        <v>1.2</v>
      </c>
      <c r="P74" s="153" t="s">
        <v>204</v>
      </c>
      <c r="Q74" s="232"/>
      <c r="R74" s="1"/>
      <c r="S74" s="248"/>
      <c r="W74" s="249"/>
    </row>
    <row r="75" spans="1:23" ht="18.899999999999999" customHeight="1" x14ac:dyDescent="0.25">
      <c r="A75" s="257" t="s">
        <v>229</v>
      </c>
      <c r="B75" s="247"/>
      <c r="C75" s="260">
        <f>C74/10*100</f>
        <v>3.1820629932016784</v>
      </c>
      <c r="D75" s="226"/>
      <c r="E75" s="335" t="s">
        <v>230</v>
      </c>
      <c r="F75" s="335"/>
      <c r="G75" s="336"/>
      <c r="H75" s="261">
        <v>100</v>
      </c>
      <c r="I75" s="1"/>
      <c r="J75" s="1"/>
      <c r="K75" s="233"/>
      <c r="L75" s="206"/>
      <c r="M75" s="230">
        <v>9</v>
      </c>
      <c r="N75" s="245" t="s">
        <v>231</v>
      </c>
      <c r="O75" s="176">
        <v>1.67</v>
      </c>
      <c r="P75" s="153" t="s">
        <v>223</v>
      </c>
      <c r="Q75" s="256">
        <v>1.8</v>
      </c>
      <c r="R75" s="1"/>
      <c r="S75" s="248"/>
      <c r="W75" s="249"/>
    </row>
    <row r="76" spans="1:23" ht="18.899999999999999" customHeight="1" x14ac:dyDescent="0.25">
      <c r="A76" s="334"/>
      <c r="B76" s="334"/>
      <c r="C76" s="264"/>
      <c r="D76" s="265"/>
      <c r="E76" s="335" t="s">
        <v>232</v>
      </c>
      <c r="F76" s="335"/>
      <c r="G76" s="336"/>
      <c r="H76" s="261">
        <v>100</v>
      </c>
      <c r="I76" s="1"/>
      <c r="J76" s="1"/>
      <c r="K76" s="233"/>
      <c r="L76" s="206"/>
      <c r="M76" s="234">
        <v>10</v>
      </c>
      <c r="N76" s="245" t="s">
        <v>233</v>
      </c>
      <c r="O76" s="176">
        <v>1.67</v>
      </c>
      <c r="P76" s="153" t="s">
        <v>223</v>
      </c>
      <c r="Q76" s="266">
        <v>1.875</v>
      </c>
      <c r="R76" s="1"/>
      <c r="S76" s="248"/>
      <c r="W76" s="249"/>
    </row>
    <row r="77" spans="1:23" ht="18.899999999999999" customHeight="1" x14ac:dyDescent="0.25">
      <c r="A77" s="326" t="s">
        <v>234</v>
      </c>
      <c r="B77" s="327"/>
      <c r="C77" s="267" t="s">
        <v>235</v>
      </c>
      <c r="D77" s="265"/>
      <c r="E77" s="328" t="s">
        <v>236</v>
      </c>
      <c r="F77" s="328"/>
      <c r="G77" s="329"/>
      <c r="H77" s="268">
        <f>H75*H74*0.0001/H76</f>
        <v>3.7499999999999999E-2</v>
      </c>
      <c r="I77" s="1"/>
      <c r="J77" s="1"/>
      <c r="K77" s="233"/>
      <c r="L77" s="206"/>
      <c r="M77" s="230">
        <v>11</v>
      </c>
      <c r="N77" s="245" t="s">
        <v>237</v>
      </c>
      <c r="O77" s="176">
        <v>1.2</v>
      </c>
      <c r="P77" s="153" t="s">
        <v>204</v>
      </c>
      <c r="Q77" s="234"/>
      <c r="R77" s="175" t="s">
        <v>238</v>
      </c>
      <c r="S77" s="269"/>
    </row>
    <row r="78" spans="1:23" ht="18.899999999999999" customHeight="1" x14ac:dyDescent="0.25">
      <c r="A78" s="326" t="s">
        <v>239</v>
      </c>
      <c r="B78" s="327"/>
      <c r="C78" s="267" t="s">
        <v>240</v>
      </c>
      <c r="D78" s="226"/>
      <c r="L78" s="206"/>
      <c r="M78" s="234">
        <v>12</v>
      </c>
      <c r="N78" s="245" t="s">
        <v>241</v>
      </c>
      <c r="O78" s="176">
        <v>1.67</v>
      </c>
      <c r="P78" s="153" t="s">
        <v>223</v>
      </c>
      <c r="Q78" s="234"/>
      <c r="R78" s="1" t="s">
        <v>242</v>
      </c>
      <c r="S78" s="270"/>
    </row>
    <row r="79" spans="1:23" ht="24.9" customHeight="1" x14ac:dyDescent="0.25">
      <c r="A79" s="226"/>
      <c r="B79" s="226"/>
      <c r="C79" s="226"/>
      <c r="K79" s="5"/>
      <c r="L79" s="206"/>
      <c r="M79" s="230">
        <v>13</v>
      </c>
      <c r="N79" s="245" t="s">
        <v>243</v>
      </c>
      <c r="O79" s="176">
        <v>1.2</v>
      </c>
      <c r="P79" s="153" t="s">
        <v>204</v>
      </c>
      <c r="Q79" s="234"/>
      <c r="R79" s="1" t="s">
        <v>244</v>
      </c>
      <c r="S79" s="269"/>
    </row>
    <row r="80" spans="1:23" ht="20.100000000000001" customHeight="1" x14ac:dyDescent="0.25">
      <c r="A80" s="330" t="s">
        <v>245</v>
      </c>
      <c r="B80" s="330"/>
      <c r="D80" s="271"/>
      <c r="E80" s="272"/>
      <c r="F80" s="272"/>
      <c r="G80" s="272"/>
      <c r="H80" s="272"/>
      <c r="I80" s="272"/>
      <c r="J80" s="272"/>
      <c r="K80" s="272"/>
      <c r="L80" s="206"/>
      <c r="M80" s="234">
        <v>14</v>
      </c>
      <c r="N80" s="245" t="s">
        <v>8</v>
      </c>
      <c r="O80" s="176">
        <v>1.2</v>
      </c>
      <c r="P80" s="153" t="s">
        <v>204</v>
      </c>
      <c r="Q80" s="234"/>
      <c r="R80" s="1" t="s">
        <v>246</v>
      </c>
      <c r="S80" s="269"/>
    </row>
    <row r="81" spans="1:21" ht="20.100000000000001" customHeight="1" x14ac:dyDescent="0.25">
      <c r="A81" s="331" t="s">
        <v>247</v>
      </c>
      <c r="B81" s="333" t="s">
        <v>248</v>
      </c>
      <c r="C81" s="271"/>
      <c r="D81" s="271"/>
      <c r="E81" s="272"/>
      <c r="F81" s="272"/>
      <c r="G81" s="272"/>
      <c r="H81" s="272"/>
      <c r="I81" s="272"/>
      <c r="J81" s="272"/>
      <c r="K81" s="272"/>
      <c r="L81" s="206"/>
      <c r="M81" s="230">
        <v>15</v>
      </c>
      <c r="N81" s="245" t="s">
        <v>249</v>
      </c>
      <c r="O81" s="176">
        <v>1</v>
      </c>
      <c r="P81" s="153" t="s">
        <v>199</v>
      </c>
      <c r="Q81" s="234"/>
      <c r="R81" s="273"/>
      <c r="S81" s="274"/>
    </row>
    <row r="82" spans="1:21" ht="24.9" customHeight="1" x14ac:dyDescent="0.25">
      <c r="A82" s="332"/>
      <c r="B82" s="332"/>
      <c r="C82" s="271"/>
      <c r="D82" s="271"/>
      <c r="E82" s="272"/>
      <c r="F82" s="272"/>
      <c r="G82" s="272"/>
      <c r="H82" s="272"/>
      <c r="I82" s="272"/>
      <c r="J82" s="272"/>
      <c r="K82" s="272"/>
      <c r="L82" s="206"/>
      <c r="M82" s="234">
        <v>16</v>
      </c>
      <c r="N82" s="245" t="s">
        <v>250</v>
      </c>
      <c r="O82" s="176">
        <v>1.67</v>
      </c>
      <c r="P82" s="153" t="s">
        <v>223</v>
      </c>
      <c r="Q82" s="234"/>
      <c r="R82" s="275"/>
      <c r="S82" s="270"/>
    </row>
    <row r="83" spans="1:21" ht="24.9" customHeight="1" x14ac:dyDescent="0.25">
      <c r="A83" s="276">
        <v>14</v>
      </c>
      <c r="B83" s="112">
        <f>-0.035*A83^2+0.215*A83-2.54</f>
        <v>-6.3900000000000006</v>
      </c>
      <c r="C83" s="271"/>
      <c r="D83" s="271"/>
      <c r="E83" s="272"/>
      <c r="F83" s="272"/>
      <c r="G83" s="272"/>
      <c r="H83" s="272"/>
      <c r="I83" s="272"/>
      <c r="J83" s="272"/>
      <c r="K83" s="272"/>
      <c r="L83" s="206"/>
      <c r="M83" s="230">
        <v>17</v>
      </c>
      <c r="N83" s="245" t="s">
        <v>251</v>
      </c>
      <c r="O83" s="176">
        <v>1</v>
      </c>
      <c r="P83" s="153" t="s">
        <v>199</v>
      </c>
      <c r="Q83" s="234"/>
      <c r="R83" s="277"/>
      <c r="S83" s="274"/>
    </row>
    <row r="84" spans="1:21" ht="24.9" customHeight="1" x14ac:dyDescent="0.25">
      <c r="A84" s="278"/>
      <c r="B84" s="278"/>
      <c r="C84" s="278"/>
      <c r="D84" s="278"/>
      <c r="E84" s="279"/>
      <c r="F84" s="279"/>
      <c r="G84" s="279"/>
      <c r="H84" s="279"/>
      <c r="I84" s="279"/>
      <c r="J84" s="279"/>
      <c r="K84" s="272"/>
      <c r="L84" s="206"/>
      <c r="M84" s="234">
        <v>18</v>
      </c>
      <c r="N84" s="245" t="s">
        <v>252</v>
      </c>
      <c r="O84" s="176">
        <v>1</v>
      </c>
      <c r="P84" s="153" t="s">
        <v>199</v>
      </c>
      <c r="Q84" s="280">
        <v>1.2</v>
      </c>
      <c r="R84" s="277"/>
      <c r="S84" s="274"/>
    </row>
    <row r="85" spans="1:21" ht="24.9" customHeight="1" x14ac:dyDescent="0.25">
      <c r="A85" s="281" t="s">
        <v>253</v>
      </c>
      <c r="B85" s="281" t="s">
        <v>254</v>
      </c>
      <c r="C85" s="281" t="s">
        <v>255</v>
      </c>
      <c r="D85" s="281" t="s">
        <v>256</v>
      </c>
      <c r="E85" s="320" t="s">
        <v>257</v>
      </c>
      <c r="F85" s="321"/>
      <c r="G85" s="321"/>
      <c r="H85" s="321"/>
      <c r="I85" s="322" t="str">
        <f>I2</f>
        <v>2022 Merlot</v>
      </c>
      <c r="J85" s="323"/>
      <c r="K85" s="272"/>
      <c r="L85" s="206"/>
      <c r="M85" s="230">
        <v>19</v>
      </c>
      <c r="N85" s="282" t="s">
        <v>258</v>
      </c>
      <c r="O85" s="176">
        <v>1.2</v>
      </c>
      <c r="P85" s="283" t="s">
        <v>204</v>
      </c>
      <c r="Q85" s="232"/>
      <c r="R85" s="277"/>
      <c r="S85" s="274"/>
    </row>
    <row r="86" spans="1:21" ht="24.9" customHeight="1" x14ac:dyDescent="0.25">
      <c r="A86" s="284"/>
      <c r="B86" s="285"/>
      <c r="C86" s="285"/>
      <c r="D86" s="285"/>
      <c r="E86" s="286"/>
      <c r="F86" s="287"/>
      <c r="G86" s="287"/>
      <c r="H86" s="287"/>
      <c r="I86" s="287"/>
      <c r="J86" s="288"/>
      <c r="K86" s="272"/>
      <c r="L86" s="206"/>
      <c r="M86" s="234">
        <v>20</v>
      </c>
      <c r="N86" s="245" t="s">
        <v>259</v>
      </c>
      <c r="O86" s="176">
        <v>1.67</v>
      </c>
      <c r="P86" s="153" t="s">
        <v>223</v>
      </c>
      <c r="Q86" s="234"/>
      <c r="R86" s="275"/>
      <c r="S86" s="249"/>
    </row>
    <row r="87" spans="1:21" ht="24.9" customHeight="1" x14ac:dyDescent="0.25">
      <c r="A87" s="284"/>
      <c r="B87" s="285"/>
      <c r="C87" s="285"/>
      <c r="D87" s="285"/>
      <c r="E87" s="286"/>
      <c r="F87" s="287"/>
      <c r="G87" s="287"/>
      <c r="H87" s="287"/>
      <c r="I87" s="287"/>
      <c r="J87" s="288"/>
      <c r="K87" s="272"/>
      <c r="L87" s="206"/>
      <c r="M87" s="230">
        <v>21</v>
      </c>
      <c r="N87" s="245" t="s">
        <v>260</v>
      </c>
      <c r="O87" s="176">
        <v>1</v>
      </c>
      <c r="P87" s="153" t="s">
        <v>199</v>
      </c>
      <c r="Q87" s="280">
        <v>1.3</v>
      </c>
      <c r="R87" s="275"/>
      <c r="S87" s="249"/>
    </row>
    <row r="88" spans="1:21" ht="24.9" customHeight="1" x14ac:dyDescent="0.25">
      <c r="A88" s="284"/>
      <c r="B88" s="285"/>
      <c r="C88" s="285"/>
      <c r="D88" s="285"/>
      <c r="E88" s="286"/>
      <c r="F88" s="287"/>
      <c r="G88" s="287"/>
      <c r="H88" s="287"/>
      <c r="I88" s="287"/>
      <c r="J88" s="288"/>
      <c r="K88" s="272"/>
      <c r="L88" s="206"/>
      <c r="M88" s="234">
        <v>22</v>
      </c>
      <c r="N88" s="245" t="s">
        <v>261</v>
      </c>
      <c r="O88" s="176">
        <v>1.2</v>
      </c>
      <c r="P88" s="153" t="s">
        <v>204</v>
      </c>
      <c r="Q88" s="280">
        <v>1.425</v>
      </c>
      <c r="R88" s="275"/>
      <c r="S88" s="249"/>
    </row>
    <row r="89" spans="1:21" ht="24.9" customHeight="1" x14ac:dyDescent="0.25">
      <c r="A89" s="284"/>
      <c r="B89" s="285"/>
      <c r="C89" s="285"/>
      <c r="D89" s="285"/>
      <c r="E89" s="286"/>
      <c r="F89" s="287"/>
      <c r="G89" s="287"/>
      <c r="H89" s="287"/>
      <c r="I89" s="287"/>
      <c r="J89" s="288"/>
      <c r="K89" s="272"/>
      <c r="L89" s="206"/>
      <c r="M89" s="230">
        <v>23</v>
      </c>
      <c r="N89" s="245" t="s">
        <v>262</v>
      </c>
      <c r="O89" s="176">
        <v>1.2</v>
      </c>
      <c r="P89" s="153" t="s">
        <v>204</v>
      </c>
      <c r="Q89" s="234"/>
      <c r="R89" s="275"/>
      <c r="S89" s="249"/>
      <c r="T89" s="289"/>
      <c r="U89" s="290"/>
    </row>
    <row r="90" spans="1:21" ht="24.9" customHeight="1" x14ac:dyDescent="0.25">
      <c r="A90" s="284"/>
      <c r="B90" s="285"/>
      <c r="C90" s="285"/>
      <c r="D90" s="285"/>
      <c r="E90" s="286"/>
      <c r="F90" s="287"/>
      <c r="G90" s="287"/>
      <c r="H90" s="287"/>
      <c r="I90" s="287"/>
      <c r="J90" s="288"/>
      <c r="K90" s="272"/>
      <c r="L90" s="206"/>
      <c r="M90" s="234">
        <v>24</v>
      </c>
      <c r="N90" s="245" t="s">
        <v>263</v>
      </c>
      <c r="O90" s="176">
        <v>1.2</v>
      </c>
      <c r="P90" s="153" t="s">
        <v>204</v>
      </c>
      <c r="Q90" s="234"/>
      <c r="R90" s="275"/>
      <c r="S90" s="269"/>
    </row>
    <row r="91" spans="1:21" ht="24.9" customHeight="1" x14ac:dyDescent="0.25">
      <c r="A91" s="284"/>
      <c r="B91" s="285"/>
      <c r="C91" s="285"/>
      <c r="D91" s="285"/>
      <c r="E91" s="286"/>
      <c r="F91" s="287"/>
      <c r="G91" s="287"/>
      <c r="H91" s="287"/>
      <c r="I91" s="287"/>
      <c r="J91" s="288"/>
      <c r="K91" s="272"/>
      <c r="L91" s="206"/>
      <c r="M91" s="230">
        <v>25</v>
      </c>
      <c r="N91" s="245" t="s">
        <v>264</v>
      </c>
      <c r="O91" s="176">
        <v>1</v>
      </c>
      <c r="P91" s="153" t="s">
        <v>199</v>
      </c>
      <c r="Q91" s="234"/>
      <c r="R91" s="275"/>
      <c r="S91" s="269"/>
    </row>
    <row r="92" spans="1:21" ht="24.9" customHeight="1" x14ac:dyDescent="0.25">
      <c r="A92" s="284"/>
      <c r="B92" s="285"/>
      <c r="C92" s="285"/>
      <c r="D92" s="285"/>
      <c r="E92" s="286"/>
      <c r="F92" s="287"/>
      <c r="G92" s="287"/>
      <c r="H92" s="287"/>
      <c r="I92" s="287"/>
      <c r="J92" s="288"/>
      <c r="K92" s="272"/>
      <c r="L92" s="206"/>
      <c r="M92" s="234">
        <v>26</v>
      </c>
      <c r="N92" s="245" t="s">
        <v>265</v>
      </c>
      <c r="O92" s="176">
        <v>1.67</v>
      </c>
      <c r="P92" s="153" t="s">
        <v>223</v>
      </c>
      <c r="Q92" s="234"/>
      <c r="R92" s="275"/>
      <c r="S92" s="269"/>
    </row>
    <row r="93" spans="1:21" ht="24.9" customHeight="1" x14ac:dyDescent="0.25">
      <c r="A93" s="284"/>
      <c r="B93" s="285"/>
      <c r="C93" s="285"/>
      <c r="D93" s="285"/>
      <c r="E93" s="286"/>
      <c r="F93" s="287"/>
      <c r="G93" s="287"/>
      <c r="H93" s="287"/>
      <c r="I93" s="287"/>
      <c r="J93" s="288"/>
      <c r="K93" s="272"/>
      <c r="L93" s="206"/>
      <c r="M93" s="230">
        <v>27</v>
      </c>
      <c r="N93" s="245" t="s">
        <v>266</v>
      </c>
      <c r="O93" s="176">
        <v>1.2</v>
      </c>
      <c r="P93" s="153" t="s">
        <v>204</v>
      </c>
      <c r="Q93" s="234"/>
      <c r="R93" s="275"/>
      <c r="S93" s="269"/>
    </row>
    <row r="94" spans="1:21" ht="24.9" customHeight="1" x14ac:dyDescent="0.25">
      <c r="A94" s="284"/>
      <c r="B94" s="285"/>
      <c r="C94" s="285"/>
      <c r="D94" s="285"/>
      <c r="E94" s="286"/>
      <c r="F94" s="287"/>
      <c r="G94" s="287"/>
      <c r="H94" s="287"/>
      <c r="I94" s="287"/>
      <c r="J94" s="288"/>
      <c r="K94" s="272"/>
      <c r="L94" s="206"/>
      <c r="M94" s="234">
        <v>28</v>
      </c>
      <c r="N94" s="245" t="s">
        <v>267</v>
      </c>
      <c r="O94" s="176">
        <v>1.2</v>
      </c>
      <c r="P94" s="153" t="s">
        <v>204</v>
      </c>
      <c r="Q94" s="280">
        <v>1.625</v>
      </c>
      <c r="R94" s="275"/>
      <c r="S94" s="270"/>
    </row>
    <row r="95" spans="1:21" ht="24.9" customHeight="1" x14ac:dyDescent="0.25">
      <c r="A95" s="284"/>
      <c r="B95" s="285"/>
      <c r="C95" s="285"/>
      <c r="D95" s="285"/>
      <c r="E95" s="286"/>
      <c r="F95" s="287"/>
      <c r="G95" s="287"/>
      <c r="H95" s="287"/>
      <c r="I95" s="287"/>
      <c r="J95" s="288"/>
      <c r="K95" s="272"/>
      <c r="L95" s="206"/>
      <c r="M95" s="230">
        <v>29</v>
      </c>
      <c r="N95" s="40" t="s">
        <v>268</v>
      </c>
      <c r="O95" s="176">
        <v>1.2</v>
      </c>
      <c r="P95" s="153" t="s">
        <v>204</v>
      </c>
      <c r="Q95" s="234"/>
      <c r="R95" s="275"/>
      <c r="S95" s="269"/>
    </row>
    <row r="96" spans="1:21" ht="24.9" customHeight="1" x14ac:dyDescent="0.25">
      <c r="A96" s="284"/>
      <c r="B96" s="285"/>
      <c r="C96" s="285"/>
      <c r="D96" s="285"/>
      <c r="E96" s="286"/>
      <c r="F96" s="287"/>
      <c r="G96" s="287"/>
      <c r="H96" s="287"/>
      <c r="I96" s="287"/>
      <c r="J96" s="288"/>
      <c r="K96" s="272"/>
      <c r="L96" s="206"/>
      <c r="M96" s="234">
        <v>30</v>
      </c>
      <c r="N96" s="245" t="s">
        <v>269</v>
      </c>
      <c r="O96" s="176">
        <v>1.2</v>
      </c>
      <c r="P96" s="153" t="s">
        <v>204</v>
      </c>
      <c r="Q96" s="234"/>
      <c r="R96" s="275"/>
      <c r="S96" s="270"/>
    </row>
    <row r="97" spans="1:22" ht="24.9" customHeight="1" x14ac:dyDescent="0.25">
      <c r="A97" s="284"/>
      <c r="B97" s="285"/>
      <c r="C97" s="285"/>
      <c r="D97" s="285"/>
      <c r="E97" s="286"/>
      <c r="F97" s="287"/>
      <c r="G97" s="287"/>
      <c r="H97" s="287"/>
      <c r="I97" s="287"/>
      <c r="J97" s="288"/>
      <c r="K97" s="272"/>
      <c r="L97" s="206"/>
      <c r="M97" s="230">
        <v>31</v>
      </c>
      <c r="N97" s="245" t="s">
        <v>270</v>
      </c>
      <c r="O97" s="176">
        <v>1.2</v>
      </c>
      <c r="P97" s="153" t="s">
        <v>204</v>
      </c>
      <c r="Q97" s="234"/>
      <c r="R97" s="275"/>
      <c r="S97" s="270"/>
    </row>
    <row r="98" spans="1:22" ht="24.9" customHeight="1" x14ac:dyDescent="0.25">
      <c r="A98" s="284"/>
      <c r="B98" s="285"/>
      <c r="C98" s="285"/>
      <c r="D98" s="285"/>
      <c r="E98" s="286"/>
      <c r="F98" s="287"/>
      <c r="G98" s="287"/>
      <c r="H98" s="287"/>
      <c r="I98" s="287"/>
      <c r="J98" s="288"/>
      <c r="K98" s="272"/>
      <c r="L98" s="206"/>
      <c r="M98" s="234">
        <v>32</v>
      </c>
      <c r="N98" s="245" t="s">
        <v>271</v>
      </c>
      <c r="O98" s="176">
        <v>1.67</v>
      </c>
      <c r="P98" s="153" t="s">
        <v>223</v>
      </c>
      <c r="Q98" s="234"/>
      <c r="R98" s="275"/>
      <c r="S98" s="291"/>
    </row>
    <row r="99" spans="1:22" ht="24.9" customHeight="1" x14ac:dyDescent="0.25">
      <c r="A99" s="284"/>
      <c r="B99" s="285"/>
      <c r="C99" s="285"/>
      <c r="D99" s="285"/>
      <c r="E99" s="286"/>
      <c r="F99" s="287"/>
      <c r="G99" s="287"/>
      <c r="H99" s="287"/>
      <c r="I99" s="287"/>
      <c r="J99" s="288"/>
      <c r="K99" s="272"/>
      <c r="L99" s="206"/>
      <c r="M99" s="230">
        <v>33</v>
      </c>
      <c r="N99" s="245" t="s">
        <v>272</v>
      </c>
      <c r="O99" s="176">
        <v>1.67</v>
      </c>
      <c r="P99" s="153" t="s">
        <v>223</v>
      </c>
      <c r="Q99" s="280">
        <v>2.15</v>
      </c>
      <c r="R99" s="275"/>
      <c r="S99" s="291"/>
    </row>
    <row r="100" spans="1:22" ht="24.9" customHeight="1" x14ac:dyDescent="0.25">
      <c r="A100" s="284"/>
      <c r="B100" s="285"/>
      <c r="C100" s="285"/>
      <c r="D100" s="285"/>
      <c r="E100" s="286"/>
      <c r="F100" s="287"/>
      <c r="G100" s="287"/>
      <c r="H100" s="287"/>
      <c r="I100" s="287"/>
      <c r="J100" s="288"/>
      <c r="K100" s="272"/>
      <c r="L100" s="206"/>
      <c r="M100" s="234">
        <v>34</v>
      </c>
      <c r="N100" s="245" t="s">
        <v>273</v>
      </c>
      <c r="O100" s="176">
        <v>1.67</v>
      </c>
      <c r="P100" s="153" t="s">
        <v>223</v>
      </c>
      <c r="Q100" s="280"/>
      <c r="R100" s="275"/>
      <c r="S100" s="291"/>
    </row>
    <row r="101" spans="1:22" ht="24.9" customHeight="1" x14ac:dyDescent="0.25">
      <c r="A101" s="284"/>
      <c r="B101" s="285"/>
      <c r="C101" s="285"/>
      <c r="D101" s="285"/>
      <c r="E101" s="286"/>
      <c r="F101" s="287"/>
      <c r="G101" s="287"/>
      <c r="H101" s="287"/>
      <c r="I101" s="287"/>
      <c r="J101" s="288"/>
      <c r="K101" s="272"/>
      <c r="L101" s="206"/>
      <c r="M101" s="230">
        <v>35</v>
      </c>
      <c r="N101" s="245" t="s">
        <v>274</v>
      </c>
      <c r="O101" s="176">
        <v>1</v>
      </c>
      <c r="P101" s="153" t="s">
        <v>199</v>
      </c>
      <c r="Q101" s="280"/>
      <c r="R101" s="275"/>
      <c r="S101" s="291"/>
    </row>
    <row r="102" spans="1:22" ht="24.9" customHeight="1" x14ac:dyDescent="0.25">
      <c r="A102" s="284"/>
      <c r="B102" s="285"/>
      <c r="C102" s="285"/>
      <c r="D102" s="285"/>
      <c r="E102" s="286"/>
      <c r="F102" s="287"/>
      <c r="G102" s="287"/>
      <c r="H102" s="287"/>
      <c r="I102" s="287"/>
      <c r="J102" s="288"/>
      <c r="K102" s="272"/>
      <c r="L102" s="206"/>
      <c r="M102" s="234">
        <v>36</v>
      </c>
      <c r="N102" s="245" t="s">
        <v>275</v>
      </c>
      <c r="O102" s="176">
        <v>1.2</v>
      </c>
      <c r="P102" s="153" t="s">
        <v>204</v>
      </c>
      <c r="Q102" s="280"/>
      <c r="R102" s="275"/>
      <c r="S102" s="291"/>
    </row>
    <row r="103" spans="1:22" ht="24.9" customHeight="1" x14ac:dyDescent="0.25">
      <c r="A103" s="284"/>
      <c r="B103" s="285"/>
      <c r="C103" s="285"/>
      <c r="D103" s="285"/>
      <c r="E103" s="286"/>
      <c r="F103" s="287"/>
      <c r="G103" s="287"/>
      <c r="H103" s="287"/>
      <c r="I103" s="287"/>
      <c r="J103" s="288"/>
      <c r="K103" s="272"/>
      <c r="L103" s="206"/>
      <c r="M103" s="230">
        <v>37</v>
      </c>
      <c r="N103" s="245" t="s">
        <v>276</v>
      </c>
      <c r="O103" s="176">
        <v>1.67</v>
      </c>
      <c r="P103" s="153" t="s">
        <v>223</v>
      </c>
      <c r="Q103" s="280"/>
      <c r="R103" s="275"/>
      <c r="S103" s="291"/>
    </row>
    <row r="104" spans="1:22" ht="24.9" customHeight="1" x14ac:dyDescent="0.25">
      <c r="A104" s="284"/>
      <c r="B104" s="285"/>
      <c r="C104" s="285"/>
      <c r="D104" s="285"/>
      <c r="E104" s="286"/>
      <c r="F104" s="287"/>
      <c r="G104" s="287"/>
      <c r="H104" s="287"/>
      <c r="I104" s="287"/>
      <c r="J104" s="288"/>
      <c r="K104" s="272"/>
      <c r="L104" s="206"/>
      <c r="M104" s="234">
        <v>38</v>
      </c>
      <c r="N104" s="245" t="s">
        <v>277</v>
      </c>
      <c r="O104" s="176">
        <v>1.1000000000000001</v>
      </c>
      <c r="P104" s="153" t="s">
        <v>278</v>
      </c>
      <c r="Q104" s="292" t="s">
        <v>279</v>
      </c>
      <c r="R104" s="293"/>
      <c r="S104" s="270"/>
    </row>
    <row r="105" spans="1:22" ht="24.9" customHeight="1" x14ac:dyDescent="0.25">
      <c r="A105" s="284"/>
      <c r="B105" s="285"/>
      <c r="C105" s="285"/>
      <c r="D105" s="285"/>
      <c r="E105" s="286"/>
      <c r="F105" s="287"/>
      <c r="G105" s="287"/>
      <c r="H105" s="287"/>
      <c r="I105" s="287"/>
      <c r="J105" s="288"/>
      <c r="K105" s="272"/>
      <c r="L105" s="206"/>
      <c r="M105" s="230">
        <v>39</v>
      </c>
      <c r="N105" s="245" t="s">
        <v>280</v>
      </c>
      <c r="O105" s="176">
        <v>1.2</v>
      </c>
      <c r="P105" s="153" t="s">
        <v>281</v>
      </c>
      <c r="Q105" s="292" t="s">
        <v>279</v>
      </c>
      <c r="R105" s="293"/>
      <c r="S105" s="270"/>
    </row>
    <row r="106" spans="1:22" ht="24.9" customHeight="1" x14ac:dyDescent="0.25">
      <c r="A106" s="284"/>
      <c r="B106" s="285"/>
      <c r="C106" s="285"/>
      <c r="D106" s="285"/>
      <c r="E106" s="286"/>
      <c r="F106" s="287"/>
      <c r="G106" s="287"/>
      <c r="H106" s="287"/>
      <c r="I106" s="287"/>
      <c r="J106" s="288"/>
      <c r="K106" s="272"/>
      <c r="L106" s="206"/>
      <c r="M106" s="234">
        <v>40</v>
      </c>
      <c r="N106" s="245" t="s">
        <v>282</v>
      </c>
      <c r="O106" s="176">
        <v>1.67</v>
      </c>
      <c r="P106" s="153" t="s">
        <v>223</v>
      </c>
      <c r="Q106" s="292" t="s">
        <v>279</v>
      </c>
      <c r="S106" s="270"/>
    </row>
    <row r="107" spans="1:22" ht="24.9" customHeight="1" x14ac:dyDescent="0.25">
      <c r="A107" s="284"/>
      <c r="B107" s="285"/>
      <c r="C107" s="285"/>
      <c r="D107" s="285"/>
      <c r="E107" s="286"/>
      <c r="F107" s="287"/>
      <c r="G107" s="287"/>
      <c r="H107" s="287"/>
      <c r="I107" s="287"/>
      <c r="J107" s="288"/>
      <c r="K107" s="272"/>
      <c r="L107" s="206"/>
      <c r="M107" s="230">
        <v>41</v>
      </c>
      <c r="N107" s="245" t="s">
        <v>283</v>
      </c>
      <c r="O107" s="176">
        <v>1.2</v>
      </c>
      <c r="P107" s="153" t="s">
        <v>281</v>
      </c>
      <c r="Q107" s="292" t="s">
        <v>279</v>
      </c>
      <c r="R107" s="275"/>
      <c r="S107" s="270"/>
    </row>
    <row r="108" spans="1:22" ht="24.9" customHeight="1" x14ac:dyDescent="0.25">
      <c r="A108" s="284"/>
      <c r="B108" s="285"/>
      <c r="C108" s="285"/>
      <c r="D108" s="285"/>
      <c r="E108" s="286"/>
      <c r="F108" s="287"/>
      <c r="G108" s="287"/>
      <c r="H108" s="287"/>
      <c r="I108" s="287"/>
      <c r="J108" s="288"/>
      <c r="K108" s="272"/>
      <c r="L108" s="206"/>
      <c r="M108" s="234">
        <v>42</v>
      </c>
      <c r="N108" s="245" t="s">
        <v>284</v>
      </c>
      <c r="O108" s="176">
        <v>1.2</v>
      </c>
      <c r="P108" s="153" t="s">
        <v>281</v>
      </c>
      <c r="Q108" s="292" t="s">
        <v>279</v>
      </c>
      <c r="R108" s="275"/>
      <c r="S108" s="270"/>
    </row>
    <row r="109" spans="1:22" ht="24.9" customHeight="1" x14ac:dyDescent="0.25">
      <c r="A109" s="284"/>
      <c r="B109" s="285"/>
      <c r="C109" s="285"/>
      <c r="D109" s="285"/>
      <c r="E109" s="286"/>
      <c r="F109" s="287"/>
      <c r="G109" s="287"/>
      <c r="H109" s="287"/>
      <c r="I109" s="287"/>
      <c r="J109" s="288"/>
      <c r="K109" s="272"/>
      <c r="L109" s="206"/>
      <c r="M109" s="230">
        <v>43</v>
      </c>
      <c r="N109" s="245" t="s">
        <v>285</v>
      </c>
      <c r="O109" s="176">
        <v>1</v>
      </c>
      <c r="P109" s="153" t="s">
        <v>199</v>
      </c>
      <c r="Q109" s="292" t="s">
        <v>279</v>
      </c>
      <c r="R109" s="275"/>
      <c r="S109" s="269"/>
      <c r="V109" s="294"/>
    </row>
    <row r="110" spans="1:22" ht="24.9" customHeight="1" x14ac:dyDescent="0.25">
      <c r="A110" s="284"/>
      <c r="B110" s="285"/>
      <c r="C110" s="285"/>
      <c r="D110" s="285"/>
      <c r="E110" s="286"/>
      <c r="F110" s="287"/>
      <c r="G110" s="287"/>
      <c r="H110" s="287"/>
      <c r="I110" s="287"/>
      <c r="J110" s="288"/>
      <c r="K110" s="272"/>
      <c r="L110" s="206"/>
      <c r="M110" s="234">
        <v>44</v>
      </c>
      <c r="N110" s="245" t="s">
        <v>286</v>
      </c>
      <c r="O110" s="176">
        <v>1.1000000000000001</v>
      </c>
      <c r="P110" s="153" t="s">
        <v>278</v>
      </c>
      <c r="Q110" s="292" t="s">
        <v>279</v>
      </c>
      <c r="R110" s="275"/>
      <c r="S110" s="269"/>
      <c r="V110" s="294"/>
    </row>
    <row r="111" spans="1:22" ht="24.9" customHeight="1" x14ac:dyDescent="0.25">
      <c r="A111" s="284"/>
      <c r="B111" s="285"/>
      <c r="C111" s="285"/>
      <c r="D111" s="285"/>
      <c r="E111" s="286"/>
      <c r="F111" s="287"/>
      <c r="G111" s="287"/>
      <c r="H111" s="287"/>
      <c r="I111" s="287"/>
      <c r="J111" s="288"/>
      <c r="K111" s="272"/>
      <c r="L111" s="206"/>
      <c r="M111" s="234">
        <v>45</v>
      </c>
      <c r="N111" s="245" t="s">
        <v>287</v>
      </c>
      <c r="O111" s="176">
        <v>1.2</v>
      </c>
      <c r="P111" s="153" t="s">
        <v>281</v>
      </c>
      <c r="Q111" s="292" t="s">
        <v>279</v>
      </c>
      <c r="R111" s="275"/>
      <c r="S111" s="269"/>
      <c r="V111" s="294"/>
    </row>
    <row r="112" spans="1:22" ht="24.9" customHeight="1" x14ac:dyDescent="0.25">
      <c r="A112" s="284"/>
      <c r="B112" s="285"/>
      <c r="C112" s="285"/>
      <c r="D112" s="285"/>
      <c r="E112" s="286"/>
      <c r="F112" s="287"/>
      <c r="G112" s="287"/>
      <c r="H112" s="287"/>
      <c r="I112" s="287"/>
      <c r="J112" s="288"/>
      <c r="K112" s="272"/>
      <c r="L112" s="206"/>
      <c r="M112" s="295"/>
      <c r="N112" s="291"/>
      <c r="O112" s="296"/>
      <c r="P112" s="206"/>
      <c r="Q112" s="295"/>
      <c r="R112" s="275"/>
      <c r="S112" s="269"/>
      <c r="V112" s="294"/>
    </row>
    <row r="113" spans="1:23" ht="24.9" customHeight="1" x14ac:dyDescent="0.25">
      <c r="A113" s="297"/>
      <c r="B113" s="298"/>
      <c r="C113" s="298"/>
      <c r="D113" s="298"/>
      <c r="E113" s="299"/>
      <c r="F113" s="300"/>
      <c r="G113" s="300"/>
      <c r="H113" s="300"/>
      <c r="I113" s="300"/>
      <c r="J113" s="301"/>
      <c r="K113" s="272"/>
      <c r="L113" s="206"/>
      <c r="M113" s="324" t="s">
        <v>288</v>
      </c>
      <c r="N113" s="324"/>
      <c r="O113" s="324"/>
      <c r="Q113" s="295"/>
      <c r="R113" s="275"/>
      <c r="S113" s="269"/>
      <c r="V113" s="294"/>
    </row>
    <row r="114" spans="1:23" ht="24" customHeight="1" x14ac:dyDescent="0.3">
      <c r="L114" s="206"/>
      <c r="M114" s="302"/>
      <c r="N114" s="303" t="s">
        <v>289</v>
      </c>
      <c r="O114" s="304" t="s">
        <v>290</v>
      </c>
      <c r="P114" s="1"/>
      <c r="Q114" s="295"/>
      <c r="R114" s="275"/>
      <c r="V114" s="294"/>
    </row>
    <row r="115" spans="1:23" ht="24" customHeight="1" x14ac:dyDescent="0.25">
      <c r="L115" s="206"/>
      <c r="M115" s="305">
        <v>1</v>
      </c>
      <c r="N115" s="306" t="s">
        <v>291</v>
      </c>
      <c r="O115" s="307">
        <v>0.28999999999999998</v>
      </c>
      <c r="P115" s="1"/>
      <c r="R115" s="275"/>
      <c r="S115" s="269"/>
      <c r="V115" s="294"/>
    </row>
    <row r="116" spans="1:23" ht="24" customHeight="1" x14ac:dyDescent="0.25">
      <c r="L116" s="206"/>
      <c r="M116" s="305">
        <v>2</v>
      </c>
      <c r="N116" s="306" t="s">
        <v>292</v>
      </c>
      <c r="O116" s="307">
        <v>0.32</v>
      </c>
      <c r="R116" s="275"/>
      <c r="S116" s="269"/>
      <c r="V116" s="294"/>
      <c r="W116" s="294"/>
    </row>
    <row r="117" spans="1:23" ht="24" customHeight="1" x14ac:dyDescent="0.25">
      <c r="L117" s="206"/>
      <c r="M117" s="305">
        <v>3</v>
      </c>
      <c r="N117" s="306" t="s">
        <v>293</v>
      </c>
      <c r="O117" s="307">
        <v>0.28999999999999998</v>
      </c>
      <c r="P117" s="1"/>
      <c r="R117" s="275"/>
      <c r="S117" s="269"/>
      <c r="V117" s="294"/>
      <c r="W117" s="294"/>
    </row>
    <row r="118" spans="1:23" ht="24" customHeight="1" x14ac:dyDescent="0.25">
      <c r="L118" s="206"/>
      <c r="M118" s="305">
        <v>4</v>
      </c>
      <c r="N118" s="306" t="s">
        <v>294</v>
      </c>
      <c r="O118" s="307">
        <v>0.28999999999999998</v>
      </c>
      <c r="P118" s="1" t="s">
        <v>295</v>
      </c>
      <c r="R118" s="275"/>
      <c r="S118" s="269"/>
      <c r="V118" s="294"/>
      <c r="W118" s="294"/>
    </row>
    <row r="119" spans="1:23" ht="24" customHeight="1" x14ac:dyDescent="0.25">
      <c r="L119" s="206"/>
      <c r="M119" s="305">
        <v>5</v>
      </c>
      <c r="N119" s="306" t="s">
        <v>296</v>
      </c>
      <c r="O119" s="307">
        <v>0.29499999999999998</v>
      </c>
      <c r="P119" s="1" t="s">
        <v>297</v>
      </c>
      <c r="R119" s="275"/>
      <c r="S119" s="269"/>
      <c r="V119" s="294"/>
      <c r="W119" s="294"/>
    </row>
    <row r="120" spans="1:23" ht="24" customHeight="1" x14ac:dyDescent="0.25">
      <c r="L120" s="206"/>
      <c r="M120" s="305">
        <v>6</v>
      </c>
      <c r="N120" s="306" t="s">
        <v>298</v>
      </c>
      <c r="O120" s="307">
        <v>0.28499999999999998</v>
      </c>
      <c r="P120" s="1"/>
      <c r="R120" s="275"/>
      <c r="S120" s="269"/>
      <c r="V120" s="294"/>
      <c r="W120" s="294"/>
    </row>
    <row r="121" spans="1:23" ht="31.5" customHeight="1" x14ac:dyDescent="0.25">
      <c r="M121" s="305">
        <v>7</v>
      </c>
      <c r="N121" s="306" t="s">
        <v>299</v>
      </c>
      <c r="O121" s="307">
        <v>0.28499999999999998</v>
      </c>
      <c r="P121" s="1"/>
      <c r="R121" s="275"/>
      <c r="S121" s="269"/>
      <c r="V121" s="294"/>
      <c r="W121" s="294"/>
    </row>
    <row r="122" spans="1:23" ht="39.75" customHeight="1" x14ac:dyDescent="0.25">
      <c r="A122" s="325" t="s">
        <v>300</v>
      </c>
      <c r="B122" s="325"/>
      <c r="C122" s="325"/>
      <c r="D122" s="325"/>
      <c r="E122" s="325"/>
      <c r="F122" s="325"/>
      <c r="G122" s="325"/>
      <c r="H122" s="325"/>
      <c r="I122" s="325"/>
      <c r="J122" s="325"/>
      <c r="K122" s="308"/>
      <c r="M122" s="305">
        <v>8</v>
      </c>
      <c r="N122" s="306" t="s">
        <v>301</v>
      </c>
      <c r="O122" s="307">
        <v>0.29499999999999998</v>
      </c>
      <c r="P122" s="1" t="s">
        <v>302</v>
      </c>
      <c r="R122" s="275"/>
      <c r="S122" s="269"/>
      <c r="V122" s="294"/>
      <c r="W122" s="294"/>
    </row>
    <row r="123" spans="1:23" ht="24" customHeight="1" x14ac:dyDescent="0.25">
      <c r="A123" s="308"/>
      <c r="B123" s="308"/>
      <c r="C123" s="309"/>
      <c r="D123" s="158"/>
      <c r="E123" s="158"/>
      <c r="F123" s="158"/>
      <c r="G123" s="158"/>
      <c r="H123" s="158"/>
      <c r="I123" s="158"/>
      <c r="J123" s="158"/>
      <c r="M123" s="305">
        <v>9</v>
      </c>
      <c r="N123" s="306" t="s">
        <v>303</v>
      </c>
      <c r="O123" s="307">
        <v>0.3</v>
      </c>
      <c r="P123" s="1" t="s">
        <v>304</v>
      </c>
      <c r="Q123" s="294"/>
      <c r="R123" s="275"/>
      <c r="S123" s="269"/>
      <c r="V123" s="294"/>
      <c r="W123" s="294"/>
    </row>
    <row r="124" spans="1:23" ht="24" customHeight="1" x14ac:dyDescent="0.25">
      <c r="A124" s="310"/>
      <c r="B124" s="311"/>
      <c r="C124" s="309"/>
      <c r="D124" s="311"/>
      <c r="E124" s="311"/>
      <c r="F124" s="311"/>
      <c r="G124" s="312"/>
      <c r="H124" s="311"/>
      <c r="I124" s="313"/>
      <c r="J124" s="314"/>
      <c r="K124" s="315"/>
      <c r="M124" s="305">
        <v>10</v>
      </c>
      <c r="N124" s="306" t="s">
        <v>305</v>
      </c>
      <c r="O124" s="307">
        <v>0.3</v>
      </c>
      <c r="P124" s="1"/>
      <c r="S124" s="249"/>
      <c r="V124" s="294"/>
      <c r="W124" s="294"/>
    </row>
    <row r="125" spans="1:23" ht="24" customHeight="1" x14ac:dyDescent="0.25">
      <c r="A125" s="310"/>
      <c r="B125" s="311"/>
      <c r="C125" s="309"/>
      <c r="D125" s="311"/>
      <c r="E125" s="311"/>
      <c r="F125" s="311"/>
      <c r="G125" s="312"/>
      <c r="H125" s="311"/>
      <c r="I125" s="310"/>
      <c r="J125" s="314"/>
      <c r="K125" s="315"/>
      <c r="M125" s="305">
        <v>11</v>
      </c>
      <c r="N125" s="306" t="s">
        <v>306</v>
      </c>
      <c r="O125" s="307">
        <v>0.31</v>
      </c>
      <c r="P125" s="1" t="s">
        <v>295</v>
      </c>
      <c r="S125" s="249"/>
      <c r="W125" s="294"/>
    </row>
    <row r="126" spans="1:23" ht="24" customHeight="1" x14ac:dyDescent="0.25">
      <c r="A126" s="310"/>
      <c r="B126" s="311"/>
      <c r="C126" s="309"/>
      <c r="D126" s="311"/>
      <c r="E126" s="311"/>
      <c r="F126" s="311"/>
      <c r="G126" s="312"/>
      <c r="H126" s="311"/>
      <c r="I126" s="310"/>
      <c r="K126" s="192"/>
      <c r="M126" s="305">
        <v>12</v>
      </c>
      <c r="N126" s="306" t="s">
        <v>307</v>
      </c>
      <c r="O126" s="307">
        <v>0.28999999999999998</v>
      </c>
      <c r="P126" s="1" t="s">
        <v>297</v>
      </c>
      <c r="S126" s="270"/>
      <c r="W126" s="294"/>
    </row>
    <row r="127" spans="1:23" ht="24" customHeight="1" x14ac:dyDescent="0.25">
      <c r="A127" s="310"/>
      <c r="B127" s="311"/>
      <c r="C127" s="309"/>
      <c r="D127" s="311"/>
      <c r="E127" s="311"/>
      <c r="F127" s="311"/>
      <c r="G127" s="312"/>
      <c r="H127" s="311"/>
      <c r="I127" s="310"/>
      <c r="K127" s="192"/>
      <c r="M127" s="305">
        <v>13</v>
      </c>
      <c r="N127" s="306" t="s">
        <v>308</v>
      </c>
      <c r="O127" s="307">
        <v>0.28499999999999998</v>
      </c>
      <c r="P127" s="1"/>
      <c r="S127" s="269"/>
      <c r="W127" s="294"/>
    </row>
    <row r="128" spans="1:23" ht="30" customHeight="1" x14ac:dyDescent="0.25">
      <c r="A128" s="310"/>
      <c r="B128" s="311"/>
      <c r="C128" s="309"/>
      <c r="D128" s="311"/>
      <c r="E128" s="311"/>
      <c r="F128" s="311"/>
      <c r="G128" s="312"/>
      <c r="H128" s="311"/>
      <c r="I128" s="310"/>
      <c r="J128" s="316"/>
      <c r="K128" s="315"/>
      <c r="M128" s="305">
        <v>14</v>
      </c>
      <c r="N128" s="306" t="s">
        <v>309</v>
      </c>
      <c r="O128" s="307">
        <v>0.28999999999999998</v>
      </c>
      <c r="P128" s="1" t="s">
        <v>310</v>
      </c>
      <c r="S128" s="270"/>
    </row>
    <row r="129" spans="1:26" ht="24" customHeight="1" x14ac:dyDescent="0.25">
      <c r="A129" s="310"/>
      <c r="B129" s="311"/>
      <c r="C129" s="309"/>
      <c r="D129" s="311"/>
      <c r="E129" s="311"/>
      <c r="F129" s="311"/>
      <c r="G129" s="312"/>
      <c r="H129" s="311"/>
      <c r="I129" s="310"/>
      <c r="J129" s="316"/>
      <c r="K129" s="315"/>
      <c r="M129" s="305">
        <v>15</v>
      </c>
      <c r="N129" s="306" t="s">
        <v>270</v>
      </c>
      <c r="O129" s="307">
        <v>0.28499999999999998</v>
      </c>
      <c r="P129" s="1" t="s">
        <v>311</v>
      </c>
      <c r="S129" s="269"/>
    </row>
    <row r="130" spans="1:26" ht="24" customHeight="1" x14ac:dyDescent="0.25">
      <c r="A130" s="310"/>
      <c r="B130" s="311"/>
      <c r="C130" s="309"/>
      <c r="D130" s="311"/>
      <c r="E130" s="311"/>
      <c r="F130" s="311"/>
      <c r="G130" s="312"/>
      <c r="H130" s="311"/>
      <c r="I130" s="310"/>
      <c r="J130" s="314"/>
      <c r="K130" s="315"/>
      <c r="M130" s="305">
        <v>16</v>
      </c>
      <c r="N130" s="306" t="s">
        <v>312</v>
      </c>
      <c r="O130" s="307">
        <v>0.28999999999999998</v>
      </c>
      <c r="P130" s="1"/>
      <c r="R130" s="294"/>
      <c r="S130" s="269"/>
    </row>
    <row r="131" spans="1:26" ht="18.899999999999999" customHeight="1" x14ac:dyDescent="0.25">
      <c r="A131" s="310"/>
      <c r="B131" s="311"/>
      <c r="C131" s="309"/>
      <c r="D131" s="311"/>
      <c r="E131" s="311"/>
      <c r="F131" s="311"/>
      <c r="G131" s="312"/>
      <c r="H131" s="311"/>
      <c r="I131" s="310"/>
      <c r="J131" s="315"/>
      <c r="K131" s="315"/>
      <c r="M131" s="305">
        <v>17</v>
      </c>
      <c r="N131" s="306" t="s">
        <v>313</v>
      </c>
      <c r="O131" s="307">
        <v>0.32</v>
      </c>
      <c r="S131" s="269"/>
    </row>
    <row r="132" spans="1:26" ht="18.899999999999999" customHeight="1" x14ac:dyDescent="0.25">
      <c r="A132" s="310"/>
      <c r="B132" s="311"/>
      <c r="C132" s="309"/>
      <c r="D132" s="311"/>
      <c r="E132" s="311"/>
      <c r="F132" s="192"/>
      <c r="G132" s="312"/>
      <c r="H132" s="311"/>
      <c r="I132" s="310"/>
      <c r="J132" s="314"/>
      <c r="K132" s="315"/>
      <c r="N132" s="317"/>
      <c r="Y132" s="294"/>
      <c r="Z132" s="294"/>
    </row>
    <row r="133" spans="1:26" ht="18.899999999999999" customHeight="1" x14ac:dyDescent="0.25">
      <c r="A133" s="310"/>
      <c r="B133" s="311"/>
      <c r="C133" s="309"/>
      <c r="D133" s="311"/>
      <c r="E133" s="311"/>
      <c r="F133" s="311"/>
      <c r="G133" s="312"/>
      <c r="H133" s="311"/>
      <c r="I133" s="310"/>
      <c r="K133" s="315"/>
      <c r="N133" s="275"/>
    </row>
    <row r="134" spans="1:26" ht="18.899999999999999" customHeight="1" x14ac:dyDescent="0.25">
      <c r="A134" s="310"/>
      <c r="B134" s="311"/>
      <c r="C134" s="309"/>
      <c r="D134" s="311"/>
      <c r="E134" s="311"/>
      <c r="F134" s="311"/>
      <c r="G134" s="318"/>
      <c r="H134" s="311"/>
      <c r="I134" s="310"/>
      <c r="J134" s="314"/>
      <c r="K134" s="315"/>
      <c r="N134" s="275"/>
    </row>
    <row r="135" spans="1:26" ht="18.899999999999999" customHeight="1" x14ac:dyDescent="0.25">
      <c r="A135" s="310"/>
      <c r="B135" s="311"/>
      <c r="C135" s="309"/>
      <c r="D135" s="311"/>
      <c r="E135" s="311"/>
      <c r="F135" s="311"/>
      <c r="G135" s="312"/>
      <c r="H135" s="311"/>
      <c r="I135" s="310"/>
      <c r="J135" s="315"/>
      <c r="K135" s="315"/>
      <c r="N135" s="275"/>
    </row>
    <row r="136" spans="1:26" ht="18.899999999999999" customHeight="1" x14ac:dyDescent="0.25">
      <c r="A136" s="310"/>
      <c r="B136" s="311"/>
      <c r="C136" s="309"/>
      <c r="D136" s="311"/>
      <c r="E136" s="311"/>
      <c r="F136" s="311"/>
      <c r="G136" s="312"/>
      <c r="H136" s="311"/>
      <c r="I136" s="310"/>
      <c r="K136" s="315"/>
      <c r="N136" s="275"/>
      <c r="O136" s="290"/>
    </row>
    <row r="137" spans="1:26" ht="18.899999999999999" customHeight="1" x14ac:dyDescent="0.25">
      <c r="G137" s="312"/>
      <c r="H137" s="311"/>
      <c r="I137" s="310"/>
      <c r="K137" s="315"/>
      <c r="N137" s="275"/>
    </row>
    <row r="138" spans="1:26" ht="18.899999999999999" customHeight="1" x14ac:dyDescent="0.25">
      <c r="N138" s="275"/>
      <c r="S138" s="294"/>
      <c r="T138" s="294"/>
      <c r="U138" s="294"/>
    </row>
    <row r="139" spans="1:26" ht="18.899999999999999" customHeight="1" x14ac:dyDescent="0.25">
      <c r="N139" s="275"/>
      <c r="X139" s="294"/>
    </row>
    <row r="140" spans="1:26" ht="18.899999999999999" customHeight="1" x14ac:dyDescent="0.25">
      <c r="N140" s="275"/>
    </row>
    <row r="141" spans="1:26" ht="18.899999999999999" customHeight="1" x14ac:dyDescent="0.25">
      <c r="N141" s="275"/>
    </row>
    <row r="142" spans="1:26" ht="18.899999999999999" customHeight="1" x14ac:dyDescent="0.25"/>
    <row r="143" spans="1:26" ht="18.899999999999999" customHeight="1" x14ac:dyDescent="0.25"/>
    <row r="144" spans="1:26" ht="18.899999999999999" customHeight="1" x14ac:dyDescent="0.25"/>
    <row r="145" spans="12:12" ht="18.899999999999999" customHeight="1" x14ac:dyDescent="0.25"/>
    <row r="146" spans="12:12" ht="18.899999999999999" customHeight="1" x14ac:dyDescent="0.25"/>
    <row r="147" spans="12:12" ht="18.899999999999999" customHeight="1" x14ac:dyDescent="0.25"/>
    <row r="148" spans="12:12" ht="18.899999999999999" customHeight="1" x14ac:dyDescent="0.25"/>
    <row r="149" spans="12:12" ht="18.899999999999999" customHeight="1" x14ac:dyDescent="0.25"/>
    <row r="150" spans="12:12" ht="18.899999999999999" customHeight="1" x14ac:dyDescent="0.25"/>
    <row r="152" spans="12:12" x14ac:dyDescent="0.25">
      <c r="L152" s="294"/>
    </row>
    <row r="153" spans="12:12" x14ac:dyDescent="0.25">
      <c r="L153" s="294"/>
    </row>
    <row r="159" spans="12:12" ht="12.9" customHeight="1" x14ac:dyDescent="0.25"/>
    <row r="163" ht="12.9" customHeight="1" x14ac:dyDescent="0.25"/>
  </sheetData>
  <sheetProtection sheet="1" objects="1" scenarios="1" formatCells="0"/>
  <mergeCells count="82">
    <mergeCell ref="C1:G1"/>
    <mergeCell ref="B2:C2"/>
    <mergeCell ref="E2:F2"/>
    <mergeCell ref="I2:K2"/>
    <mergeCell ref="A3:B3"/>
    <mergeCell ref="C3:E3"/>
    <mergeCell ref="F3:H3"/>
    <mergeCell ref="I3:K3"/>
    <mergeCell ref="B5:C5"/>
    <mergeCell ref="E5:F5"/>
    <mergeCell ref="H5:K5"/>
    <mergeCell ref="I13:J13"/>
    <mergeCell ref="A15:F15"/>
    <mergeCell ref="J15:K15"/>
    <mergeCell ref="A13:B13"/>
    <mergeCell ref="I16:J16"/>
    <mergeCell ref="I17:J17"/>
    <mergeCell ref="I18:J18"/>
    <mergeCell ref="I19:J19"/>
    <mergeCell ref="A21:E21"/>
    <mergeCell ref="G21:K21"/>
    <mergeCell ref="A16:A18"/>
    <mergeCell ref="B16:B18"/>
    <mergeCell ref="C16:C18"/>
    <mergeCell ref="D16:D18"/>
    <mergeCell ref="E16:E18"/>
    <mergeCell ref="F16:F18"/>
    <mergeCell ref="E33:F33"/>
    <mergeCell ref="A26:D26"/>
    <mergeCell ref="G26:K26"/>
    <mergeCell ref="G27:G28"/>
    <mergeCell ref="H27:H28"/>
    <mergeCell ref="I27:I28"/>
    <mergeCell ref="J27:J28"/>
    <mergeCell ref="K27:K28"/>
    <mergeCell ref="A28:A29"/>
    <mergeCell ref="B28:B29"/>
    <mergeCell ref="C28:C29"/>
    <mergeCell ref="D28:D29"/>
    <mergeCell ref="A31:A32"/>
    <mergeCell ref="B31:B32"/>
    <mergeCell ref="C31:C32"/>
    <mergeCell ref="D31:D32"/>
    <mergeCell ref="E44:F44"/>
    <mergeCell ref="G44:G45"/>
    <mergeCell ref="H44:I44"/>
    <mergeCell ref="J44:J45"/>
    <mergeCell ref="K44:K45"/>
    <mergeCell ref="G35:K35"/>
    <mergeCell ref="F38:G38"/>
    <mergeCell ref="F39:G39"/>
    <mergeCell ref="A40:B40"/>
    <mergeCell ref="A41:C41"/>
    <mergeCell ref="P65:P66"/>
    <mergeCell ref="Q65:Q66"/>
    <mergeCell ref="I66:I67"/>
    <mergeCell ref="E45:F45"/>
    <mergeCell ref="E46:F46"/>
    <mergeCell ref="E47:F47"/>
    <mergeCell ref="E48:F48"/>
    <mergeCell ref="H61:I61"/>
    <mergeCell ref="N64:O64"/>
    <mergeCell ref="A76:B76"/>
    <mergeCell ref="E76:G76"/>
    <mergeCell ref="B65:C65"/>
    <mergeCell ref="D65:F66"/>
    <mergeCell ref="M65:O66"/>
    <mergeCell ref="I68:I69"/>
    <mergeCell ref="I70:I71"/>
    <mergeCell ref="A72:B72"/>
    <mergeCell ref="E74:G74"/>
    <mergeCell ref="E75:G75"/>
    <mergeCell ref="E85:H85"/>
    <mergeCell ref="I85:J85"/>
    <mergeCell ref="M113:O113"/>
    <mergeCell ref="A122:J122"/>
    <mergeCell ref="A77:B77"/>
    <mergeCell ref="E77:G77"/>
    <mergeCell ref="A78:B78"/>
    <mergeCell ref="A80:B80"/>
    <mergeCell ref="A81:A82"/>
    <mergeCell ref="B81:B82"/>
  </mergeCells>
  <conditionalFormatting sqref="B35">
    <cfRule type="cellIs" dxfId="3" priority="4" operator="greaterThan">
      <formula>0.5</formula>
    </cfRule>
  </conditionalFormatting>
  <conditionalFormatting sqref="B39">
    <cfRule type="cellIs" dxfId="2" priority="3" operator="greaterThan">
      <formula>0.97</formula>
    </cfRule>
  </conditionalFormatting>
  <conditionalFormatting sqref="K29">
    <cfRule type="cellIs" dxfId="1" priority="2" operator="greaterThan">
      <formula>100</formula>
    </cfRule>
  </conditionalFormatting>
  <conditionalFormatting sqref="K36">
    <cfRule type="cellIs" dxfId="0" priority="1" operator="greaterThan">
      <formula>100</formula>
    </cfRule>
  </conditionalFormatting>
  <printOptions horizontalCentered="1"/>
  <pageMargins left="0.78740157480314965" right="0.19685039370078741" top="0" bottom="0" header="0" footer="0"/>
  <pageSetup scale="29" fitToHeight="0" orientation="portrait" horizontalDpi="4294967294" verticalDpi="4294967293" r:id="rId1"/>
  <headerFooter alignWithMargins="0">
    <oddFooter>&amp;C&amp;D</oddFooter>
  </headerFooter>
  <rowBreaks count="1" manualBreakCount="1">
    <brk id="6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0</xdr:col>
                    <xdr:colOff>22860</xdr:colOff>
                    <xdr:row>18</xdr:row>
                    <xdr:rowOff>30480</xdr:rowOff>
                  </from>
                  <to>
                    <xdr:col>0</xdr:col>
                    <xdr:colOff>1303020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0</xdr:col>
                    <xdr:colOff>22860</xdr:colOff>
                    <xdr:row>29</xdr:row>
                    <xdr:rowOff>30480</xdr:rowOff>
                  </from>
                  <to>
                    <xdr:col>0</xdr:col>
                    <xdr:colOff>1303020</xdr:colOff>
                    <xdr:row>29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D254</vt:lpstr>
      <vt:lpstr>Grape_yield</vt:lpstr>
      <vt:lpstr>Yeast_Table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Willem Wyngaards</dc:creator>
  <cp:lastModifiedBy>David Holmes</cp:lastModifiedBy>
  <dcterms:created xsi:type="dcterms:W3CDTF">2022-10-24T20:19:06Z</dcterms:created>
  <dcterms:modified xsi:type="dcterms:W3CDTF">2022-11-15T01:45:44Z</dcterms:modified>
</cp:coreProperties>
</file>