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David\Documents\Wine Making\Wine Making Journals\"/>
    </mc:Choice>
  </mc:AlternateContent>
  <bookViews>
    <workbookView xWindow="0" yWindow="0" windowWidth="23190" windowHeight="12825" tabRatio="764"/>
  </bookViews>
  <sheets>
    <sheet name="Must Yan Nutrient " sheetId="7" r:id="rId1"/>
  </sheets>
  <definedNames>
    <definedName name="Excel_BuiltIn_Print_Area_1" localSheetId="0">#REF!</definedName>
    <definedName name="Excel_BuiltIn_Print_Area_1">#REF!</definedName>
    <definedName name="Must_Yeast_Nutrient">#REF!</definedName>
    <definedName name="_xlnm.Print_Area" localSheetId="0">'Must Yan Nutrient '!$A$1:$L$110</definedName>
  </definedNames>
  <calcPr calcId="162913"/>
</workbook>
</file>

<file path=xl/calcChain.xml><?xml version="1.0" encoding="utf-8"?>
<calcChain xmlns="http://schemas.openxmlformats.org/spreadsheetml/2006/main">
  <c r="D41" i="7" l="1"/>
  <c r="H44" i="7" s="1"/>
  <c r="D38" i="7"/>
  <c r="H38" i="7" s="1"/>
  <c r="C32" i="7"/>
  <c r="G26" i="7"/>
  <c r="G38" i="7" l="1"/>
  <c r="D64" i="7" l="1"/>
  <c r="K64" i="7" l="1"/>
  <c r="H26" i="7" l="1"/>
  <c r="D37" i="7" l="1"/>
  <c r="D39" i="7"/>
  <c r="K43" i="7"/>
  <c r="C39" i="7"/>
  <c r="C26" i="7"/>
  <c r="H39" i="7" l="1"/>
  <c r="G39" i="7"/>
  <c r="G37" i="7"/>
  <c r="H37" i="7"/>
  <c r="I39" i="7"/>
  <c r="K39" i="7" s="1"/>
  <c r="J39" i="7"/>
  <c r="I37" i="7"/>
  <c r="J37" i="7"/>
  <c r="I38" i="7"/>
  <c r="K38" i="7" s="1"/>
  <c r="J38" i="7"/>
  <c r="K51" i="7"/>
  <c r="D59" i="7"/>
  <c r="D52" i="7"/>
  <c r="D51" i="7"/>
  <c r="J29" i="7"/>
  <c r="D60" i="7"/>
  <c r="D50" i="7"/>
  <c r="K55" i="7"/>
  <c r="D55" i="7"/>
  <c r="D54" i="7"/>
  <c r="D53" i="7"/>
  <c r="K37" i="7" l="1"/>
  <c r="C9" i="7"/>
  <c r="C37" i="7" l="1"/>
  <c r="C38" i="7"/>
  <c r="F9" i="7" l="1"/>
  <c r="D56" i="7" l="1"/>
  <c r="D57" i="7"/>
  <c r="D58" i="7"/>
  <c r="D61" i="7"/>
  <c r="D62" i="7"/>
  <c r="D63" i="7"/>
  <c r="D32" i="7" l="1"/>
  <c r="K63" i="7"/>
  <c r="K62" i="7"/>
  <c r="K61" i="7"/>
  <c r="K60" i="7"/>
  <c r="K59" i="7"/>
  <c r="K58" i="7"/>
  <c r="K57" i="7"/>
  <c r="K56" i="7"/>
  <c r="K54" i="7"/>
  <c r="K53" i="7"/>
  <c r="K52" i="7"/>
  <c r="C41" i="7"/>
  <c r="B35" i="7"/>
  <c r="D35" i="7" s="1"/>
  <c r="G19" i="7"/>
  <c r="D19" i="7"/>
  <c r="D17" i="7"/>
  <c r="J12" i="7"/>
  <c r="F12" i="7"/>
  <c r="C12" i="7"/>
  <c r="J11" i="7"/>
  <c r="F11" i="7"/>
  <c r="C11" i="7"/>
  <c r="J10" i="7"/>
  <c r="F10" i="7"/>
  <c r="C10" i="7"/>
  <c r="J9" i="7"/>
  <c r="H45" i="7" l="1"/>
  <c r="I45" i="7" s="1"/>
  <c r="J45" i="7" s="1"/>
  <c r="K45" i="7" s="1"/>
  <c r="B36" i="7"/>
  <c r="D36" i="7" s="1"/>
  <c r="J44" i="7"/>
  <c r="I44" i="7"/>
  <c r="J19" i="7"/>
  <c r="I19" i="7"/>
  <c r="C13" i="7"/>
  <c r="J13" i="7"/>
  <c r="F13" i="7"/>
  <c r="K19" i="7"/>
  <c r="H19" i="7"/>
  <c r="C36" i="7" l="1"/>
  <c r="K44" i="7"/>
  <c r="C42" i="7" l="1"/>
  <c r="G40" i="7"/>
  <c r="H40" i="7" s="1"/>
  <c r="I40" i="7" s="1"/>
  <c r="J40" i="7" s="1"/>
  <c r="K40" i="7" s="1"/>
  <c r="K46" i="7" l="1"/>
  <c r="K36" i="7" l="1"/>
</calcChain>
</file>

<file path=xl/comments1.xml><?xml version="1.0" encoding="utf-8"?>
<comments xmlns="http://schemas.openxmlformats.org/spreadsheetml/2006/main">
  <authors>
    <author>Owner</author>
    <author>Willem Wyngaards</author>
    <author>WILLEM</author>
    <author>Bill Wyngaards</author>
  </authors>
  <commentList>
    <comment ref="B8" authorId="0" shapeId="0">
      <text>
        <r>
          <rPr>
            <b/>
            <sz val="9"/>
            <color indexed="81"/>
            <rFont val="Tahoma"/>
            <family val="2"/>
          </rPr>
          <t>6 gal API Kirk pail from California.
Freeboard measured down from the top rim. (mm)</t>
        </r>
      </text>
    </comment>
    <comment ref="D8" authorId="0" shapeId="0">
      <text>
        <r>
          <rPr>
            <b/>
            <sz val="9"/>
            <color indexed="81"/>
            <rFont val="Tahoma"/>
            <family val="2"/>
          </rPr>
          <t>6 gal API Kirk pail from California.
Freeboard measured down from the top rim in (mm).</t>
        </r>
      </text>
    </comment>
    <comment ref="D16" authorId="0" shapeId="0">
      <text>
        <r>
          <rPr>
            <b/>
            <sz val="9"/>
            <color indexed="81"/>
            <rFont val="Tahoma"/>
            <family val="2"/>
          </rPr>
          <t xml:space="preserve">Conversion factor for pounds to Kilogram (Kg).
Multiply pounds times 0.454
</t>
        </r>
      </text>
    </comment>
    <comment ref="C25" authorId="0" shapeId="0">
      <text>
        <r>
          <rPr>
            <b/>
            <sz val="10"/>
            <color indexed="81"/>
            <rFont val="Tahoma"/>
            <family val="2"/>
          </rPr>
          <t>Pressed juice volume based on weight of DESTEMMED MUST from a basket press volumes.</t>
        </r>
        <r>
          <rPr>
            <sz val="9"/>
            <color indexed="81"/>
            <rFont val="Tahoma"/>
            <family val="2"/>
          </rPr>
          <t xml:space="preserve">
</t>
        </r>
      </text>
    </comment>
    <comment ref="C32" authorId="0" shapeId="0">
      <text>
        <r>
          <rPr>
            <b/>
            <sz val="9"/>
            <color indexed="81"/>
            <rFont val="Tahoma"/>
            <family val="2"/>
          </rPr>
          <t>factor was 325 now 350. This lower the YAN at 22 Brix to 175 from 200 mgN/L.
Recommended levels range from 150 to 200.</t>
        </r>
      </text>
    </comment>
    <comment ref="D32" authorId="0" shapeId="0">
      <text>
        <r>
          <rPr>
            <b/>
            <sz val="9"/>
            <color indexed="81"/>
            <rFont val="Tahoma"/>
            <family val="2"/>
          </rPr>
          <t xml:space="preserve">Increase nitrogen sources until YAN total in cell C42 equals YAN in cell D32 </t>
        </r>
      </text>
    </comment>
    <comment ref="G34" authorId="0" shapeId="0">
      <text>
        <r>
          <rPr>
            <b/>
            <sz val="9"/>
            <color indexed="81"/>
            <rFont val="Tahoma"/>
            <family val="2"/>
          </rPr>
          <t>START UP Sets the initial YAN to 175 mgN/L YAN</t>
        </r>
      </text>
    </comment>
    <comment ref="B35" authorId="1" shapeId="0">
      <text>
        <r>
          <rPr>
            <b/>
            <sz val="8"/>
            <color indexed="81"/>
            <rFont val="Tahoma"/>
            <family val="2"/>
          </rPr>
          <t>Standard dosage is 0.25 g/L.
Amount increases proportional to Brix.</t>
        </r>
      </text>
    </comment>
    <comment ref="A36" authorId="2" shapeId="0">
      <text>
        <r>
          <rPr>
            <b/>
            <sz val="10"/>
            <color indexed="81"/>
            <rFont val="Tahoma"/>
            <family val="2"/>
          </rPr>
          <t>GoFerm added to yeast rehydration water.
GoFerm, 
1 g/L
yields 30 mgN/L</t>
        </r>
      </text>
    </comment>
    <comment ref="B36" authorId="1" shapeId="0">
      <text>
        <r>
          <rPr>
            <b/>
            <sz val="8"/>
            <color indexed="81"/>
            <rFont val="Tahoma"/>
            <family val="2"/>
          </rPr>
          <t xml:space="preserve">Standard dosage is 0.30 g/L, rehydrate 20 times its weight in water. </t>
        </r>
      </text>
    </comment>
    <comment ref="G36" authorId="1" shapeId="0">
      <text>
        <r>
          <rPr>
            <b/>
            <sz val="9"/>
            <color indexed="81"/>
            <rFont val="Tahoma"/>
            <charset val="1"/>
          </rPr>
          <t>Edit split percentages to total 100%</t>
        </r>
        <r>
          <rPr>
            <sz val="9"/>
            <color indexed="81"/>
            <rFont val="Tahoma"/>
            <charset val="1"/>
          </rPr>
          <t xml:space="preserve">
</t>
        </r>
      </text>
    </comment>
    <comment ref="A37" authorId="2" shapeId="0">
      <text>
        <r>
          <rPr>
            <b/>
            <sz val="10"/>
            <color indexed="81"/>
            <rFont val="Tahoma"/>
            <family val="2"/>
          </rPr>
          <t>Fermaid K, 
1 g/L 
yields 100 mgN/L</t>
        </r>
      </text>
    </comment>
    <comment ref="B37" authorId="1" shapeId="0">
      <text>
        <r>
          <rPr>
            <b/>
            <sz val="8"/>
            <color indexed="81"/>
            <rFont val="Tahoma"/>
            <family val="2"/>
          </rPr>
          <t>0.25 g/L is the maximum amount set by the Alcohol and Tobacco Tax Bureau because of the thiamine amount.</t>
        </r>
      </text>
    </comment>
    <comment ref="A38" authorId="0" shapeId="0">
      <text>
        <r>
          <rPr>
            <b/>
            <sz val="9"/>
            <color indexed="81"/>
            <rFont val="Tahoma"/>
            <family val="2"/>
          </rPr>
          <t>Fermaid O, 
1 g/L 
yields 52 mgN/L</t>
        </r>
      </text>
    </comment>
    <comment ref="A39" authorId="2" shapeId="0">
      <text>
        <r>
          <rPr>
            <b/>
            <sz val="10"/>
            <color indexed="81"/>
            <rFont val="Tahoma"/>
            <family val="2"/>
          </rPr>
          <t>Superfood, (Spagnols ?)
1 g/L 
yields 76 mgN/L</t>
        </r>
      </text>
    </comment>
    <comment ref="A41" authorId="2" shapeId="0">
      <text>
        <r>
          <rPr>
            <b/>
            <sz val="10"/>
            <color indexed="81"/>
            <rFont val="Tahoma"/>
            <family val="2"/>
          </rPr>
          <t>LIMIT THE AMOUNT OF DAP
Use organic nutrients (GoFerm and Fermaid O) at start up. 
DAP should be use only if YAN is very low and after lag phase. DAP can not be utilized by the yeast after 9 % alcohol (drop of 17 Brix). This is approximately at the 1/3 drop in Brix / SG.
 1 g/L DAP yields 200 mgN/L</t>
        </r>
      </text>
    </comment>
    <comment ref="C42" authorId="0" shapeId="0">
      <text>
        <r>
          <rPr>
            <b/>
            <sz val="9"/>
            <color indexed="81"/>
            <rFont val="Tahoma"/>
            <family val="2"/>
          </rPr>
          <t xml:space="preserve">Increase nitrogen sources until YAN total in cell C42 equals YAN in cell D32 </t>
        </r>
        <r>
          <rPr>
            <sz val="9"/>
            <color indexed="81"/>
            <rFont val="Tahoma"/>
            <family val="2"/>
          </rPr>
          <t xml:space="preserve">
</t>
        </r>
      </text>
    </comment>
    <comment ref="H43" authorId="1" shapeId="0">
      <text>
        <r>
          <rPr>
            <b/>
            <sz val="9"/>
            <color indexed="81"/>
            <rFont val="Tahoma"/>
            <family val="2"/>
          </rPr>
          <t>Edit split percentages to total 100%</t>
        </r>
        <r>
          <rPr>
            <sz val="9"/>
            <color indexed="81"/>
            <rFont val="Tahoma"/>
            <family val="2"/>
          </rPr>
          <t xml:space="preserve">
</t>
        </r>
      </text>
    </comment>
    <comment ref="G44" authorId="0" shapeId="0">
      <text>
        <r>
          <rPr>
            <b/>
            <sz val="9"/>
            <color indexed="81"/>
            <rFont val="Tahoma"/>
            <family val="2"/>
          </rPr>
          <t>Use DAP post Lag phase and before alcohol levels reach 9%. ABV</t>
        </r>
      </text>
    </comment>
    <comment ref="C49" authorId="1" shapeId="0">
      <text>
        <r>
          <rPr>
            <b/>
            <sz val="9"/>
            <color indexed="81"/>
            <rFont val="Tahoma"/>
            <family val="2"/>
          </rPr>
          <t>Edit USE column to your dosage.</t>
        </r>
      </text>
    </comment>
    <comment ref="J49" authorId="1" shapeId="0">
      <text>
        <r>
          <rPr>
            <b/>
            <sz val="9"/>
            <color indexed="81"/>
            <rFont val="Tahoma"/>
            <family val="2"/>
          </rPr>
          <t>Edit USE column to your dosage.</t>
        </r>
        <r>
          <rPr>
            <sz val="9"/>
            <color indexed="81"/>
            <rFont val="Tahoma"/>
            <family val="2"/>
          </rPr>
          <t xml:space="preserve">
</t>
        </r>
      </text>
    </comment>
    <comment ref="B50" authorId="3" shapeId="0">
      <text>
        <r>
          <rPr>
            <b/>
            <sz val="9"/>
            <color indexed="81"/>
            <rFont val="Tahoma"/>
            <family val="2"/>
          </rPr>
          <t>At pH 3.50 and Molecular 0.8 yields 40 ppm Free SO</t>
        </r>
        <r>
          <rPr>
            <b/>
            <vertAlign val="subscript"/>
            <sz val="9"/>
            <color indexed="81"/>
            <rFont val="Tahoma"/>
            <family val="2"/>
          </rPr>
          <t xml:space="preserve">2 </t>
        </r>
        <r>
          <rPr>
            <b/>
            <sz val="9"/>
            <color indexed="81"/>
            <rFont val="Tahoma"/>
            <family val="2"/>
          </rPr>
          <t xml:space="preserve">
</t>
        </r>
      </text>
    </comment>
    <comment ref="A51" authorId="0" shapeId="0">
      <text>
        <r>
          <rPr>
            <b/>
            <sz val="9"/>
            <color indexed="81"/>
            <rFont val="Tahoma"/>
            <family val="2"/>
          </rPr>
          <t>Dosage on weight of must.</t>
        </r>
      </text>
    </comment>
    <comment ref="G51" authorId="0" shapeId="0">
      <text>
        <r>
          <rPr>
            <b/>
            <sz val="9"/>
            <color indexed="81"/>
            <rFont val="Tahoma"/>
            <family val="2"/>
          </rPr>
          <t>Dosage based on weight of must.</t>
        </r>
      </text>
    </comment>
    <comment ref="A52" authorId="0" shapeId="0">
      <text>
        <r>
          <rPr>
            <b/>
            <sz val="9"/>
            <color indexed="81"/>
            <rFont val="Tahoma"/>
            <family val="2"/>
          </rPr>
          <t>Dosage on weight of must.</t>
        </r>
      </text>
    </comment>
    <comment ref="A53" authorId="0" shapeId="0">
      <text>
        <r>
          <rPr>
            <b/>
            <sz val="9"/>
            <color indexed="81"/>
            <rFont val="Tahoma"/>
            <family val="2"/>
          </rPr>
          <t>Dosage based on volume of must.</t>
        </r>
      </text>
    </comment>
    <comment ref="A54" authorId="0" shapeId="0">
      <text>
        <r>
          <rPr>
            <b/>
            <sz val="9"/>
            <color indexed="81"/>
            <rFont val="Tahoma"/>
            <family val="2"/>
          </rPr>
          <t>Dosage on volume of must.</t>
        </r>
      </text>
    </comment>
    <comment ref="A55" authorId="0" shapeId="0">
      <text>
        <r>
          <rPr>
            <b/>
            <sz val="9"/>
            <color indexed="81"/>
            <rFont val="Tahoma"/>
            <family val="2"/>
          </rPr>
          <t>Dosage on volume of must.</t>
        </r>
      </text>
    </comment>
    <comment ref="G55" authorId="0" shapeId="0">
      <text>
        <r>
          <rPr>
            <b/>
            <sz val="9"/>
            <color indexed="81"/>
            <rFont val="Tahoma"/>
            <family val="2"/>
          </rPr>
          <t>Dosage based on must volume.</t>
        </r>
        <r>
          <rPr>
            <sz val="9"/>
            <color indexed="81"/>
            <rFont val="Tahoma"/>
            <family val="2"/>
          </rPr>
          <t xml:space="preserve">
</t>
        </r>
      </text>
    </comment>
    <comment ref="G58" authorId="0" shapeId="0">
      <text>
        <r>
          <rPr>
            <b/>
            <sz val="9"/>
            <color indexed="81"/>
            <rFont val="Tahoma"/>
            <family val="2"/>
          </rPr>
          <t>Calcium Bentonite for pH &lt;3.5</t>
        </r>
      </text>
    </comment>
    <comment ref="A59" authorId="0" shapeId="0">
      <text>
        <r>
          <rPr>
            <b/>
            <sz val="9"/>
            <color indexed="81"/>
            <rFont val="Tahoma"/>
            <family val="2"/>
          </rPr>
          <t>Based on weight of must.</t>
        </r>
      </text>
    </comment>
    <comment ref="H60" authorId="0" shapeId="0">
      <text>
        <r>
          <rPr>
            <b/>
            <sz val="9"/>
            <color indexed="81"/>
            <rFont val="Tahoma"/>
            <family val="2"/>
          </rPr>
          <t>Dosage for alcohol range of 10—15 %</t>
        </r>
      </text>
    </comment>
    <comment ref="G62" authorId="0" shapeId="0">
      <text>
        <r>
          <rPr>
            <b/>
            <sz val="9"/>
            <color indexed="81"/>
            <rFont val="Tahoma"/>
            <family val="2"/>
          </rPr>
          <t>Silica suspension</t>
        </r>
      </text>
    </comment>
    <comment ref="A63" authorId="0" shapeId="0">
      <text>
        <r>
          <rPr>
            <b/>
            <sz val="9"/>
            <color indexed="81"/>
            <rFont val="Tahoma"/>
            <family val="2"/>
          </rPr>
          <t>Isinglass and citric acid stabilized with potassium metabisulfite.</t>
        </r>
      </text>
    </comment>
    <comment ref="G63" authorId="0" shapeId="0">
      <text>
        <r>
          <rPr>
            <b/>
            <sz val="9"/>
            <color indexed="81"/>
            <rFont val="Tahoma"/>
            <family val="2"/>
          </rPr>
          <t>Hot Mix for wine.</t>
        </r>
      </text>
    </comment>
    <comment ref="G64" authorId="0" shapeId="0">
      <text>
        <r>
          <rPr>
            <b/>
            <sz val="9"/>
            <color indexed="81"/>
            <rFont val="Tahoma"/>
            <family val="2"/>
          </rPr>
          <t>Dosage on volume of must.</t>
        </r>
        <r>
          <rPr>
            <sz val="9"/>
            <color indexed="81"/>
            <rFont val="Tahoma"/>
            <family val="2"/>
          </rPr>
          <t xml:space="preserve">
</t>
        </r>
      </text>
    </comment>
    <comment ref="P96" authorId="0" shapeId="0">
      <text>
        <r>
          <rPr>
            <b/>
            <sz val="10"/>
            <color indexed="81"/>
            <rFont val="Tahoma"/>
            <family val="2"/>
          </rPr>
          <t>Pressed juice volume per pound of Destemmed must. Red  values basket press volumes.</t>
        </r>
      </text>
    </comment>
  </commentList>
</comments>
</file>

<file path=xl/sharedStrings.xml><?xml version="1.0" encoding="utf-8"?>
<sst xmlns="http://schemas.openxmlformats.org/spreadsheetml/2006/main" count="289" uniqueCount="234">
  <si>
    <t>by Willem Wyngaards</t>
  </si>
  <si>
    <t>YEAST g/L</t>
  </si>
  <si>
    <t>GRAPE</t>
  </si>
  <si>
    <t>° BRIX</t>
  </si>
  <si>
    <t>POTENTIAL
ALCOHOL
% ABV</t>
  </si>
  <si>
    <t>YEAST and NUTRIENT CALCULATIONS</t>
  </si>
  <si>
    <t>Volume (L)</t>
  </si>
  <si>
    <t>Brix</t>
  </si>
  <si>
    <t>TA (g/L)</t>
  </si>
  <si>
    <t>pH</t>
  </si>
  <si>
    <t>YAN</t>
  </si>
  <si>
    <t xml:space="preserve">YEAST </t>
  </si>
  <si>
    <t>YAN SUPPLIED</t>
  </si>
  <si>
    <t>Juice</t>
  </si>
  <si>
    <t>STRAIN</t>
  </si>
  <si>
    <t>BY GRAPE</t>
  </si>
  <si>
    <t>Water</t>
  </si>
  <si>
    <t>Final</t>
  </si>
  <si>
    <t>Nitrogen
 Source</t>
  </si>
  <si>
    <t>Trial Addition
g/L</t>
  </si>
  <si>
    <t>YAN
Yields
mgN/L</t>
  </si>
  <si>
    <t>Grams
for Total
Volume</t>
  </si>
  <si>
    <t>Yeast</t>
  </si>
  <si>
    <t>~</t>
  </si>
  <si>
    <t>GoFerm</t>
  </si>
  <si>
    <t>% SPLITS</t>
  </si>
  <si>
    <t>Fermaid K</t>
  </si>
  <si>
    <t>Fermaid K (g)</t>
  </si>
  <si>
    <t>Superfood</t>
  </si>
  <si>
    <t>Superfood (g)</t>
  </si>
  <si>
    <t>DAP</t>
  </si>
  <si>
    <t>DAP (g)</t>
  </si>
  <si>
    <t>DAP DISTRIBUTION</t>
  </si>
  <si>
    <t>DOSAGE TABLES</t>
  </si>
  <si>
    <t>Ingredient</t>
  </si>
  <si>
    <t>Recommended
Dosage</t>
  </si>
  <si>
    <t>USE</t>
  </si>
  <si>
    <t>Amount to
Add (g)</t>
  </si>
  <si>
    <t>Recommended Dosage</t>
  </si>
  <si>
    <r>
      <t>SO</t>
    </r>
    <r>
      <rPr>
        <b/>
        <vertAlign val="subscript"/>
        <sz val="8"/>
        <rFont val="Verdana"/>
        <family val="2"/>
      </rPr>
      <t>2</t>
    </r>
  </si>
  <si>
    <t>0.07g/L</t>
  </si>
  <si>
    <t>Whites</t>
  </si>
  <si>
    <t>Reds</t>
  </si>
  <si>
    <t>Lallzyme EX</t>
  </si>
  <si>
    <t>Tannin Riche</t>
  </si>
  <si>
    <t>0.03—0.07 g/L</t>
  </si>
  <si>
    <t>0.03—0.15 g/L</t>
  </si>
  <si>
    <t>FT Rouge</t>
  </si>
  <si>
    <t>0.20—0.50 g/L</t>
  </si>
  <si>
    <t>0.05—0.10 g/L</t>
  </si>
  <si>
    <t>0.05—0.20 g/L</t>
  </si>
  <si>
    <t>Opti Red</t>
  </si>
  <si>
    <t>TanCor Gr.Cr.</t>
  </si>
  <si>
    <t>Opti White</t>
  </si>
  <si>
    <t>0.25—0.5 g/L</t>
  </si>
  <si>
    <t>FT Blanc Soft</t>
  </si>
  <si>
    <t>0.05—0.15 g/L</t>
  </si>
  <si>
    <t>Acti-Malo</t>
  </si>
  <si>
    <t>0.20 g/L</t>
  </si>
  <si>
    <t>Leucofood</t>
  </si>
  <si>
    <t>0.04—0.05 g/L</t>
  </si>
  <si>
    <t>Opti'Malo</t>
  </si>
  <si>
    <t>Polycacel</t>
  </si>
  <si>
    <t>Cuvée Blanc</t>
  </si>
  <si>
    <t>0.01 g/Lb</t>
  </si>
  <si>
    <t>Albumex</t>
  </si>
  <si>
    <t>C–MAX</t>
  </si>
  <si>
    <t>0.0158 g/L</t>
  </si>
  <si>
    <t>Bentonite</t>
  </si>
  <si>
    <t>Noblesse</t>
  </si>
  <si>
    <t>Sorbate</t>
  </si>
  <si>
    <t>Reduless</t>
  </si>
  <si>
    <t>0.10—0.15 g/L</t>
  </si>
  <si>
    <t>Lysozyme</t>
  </si>
  <si>
    <t>0.25—0.50 g/L</t>
  </si>
  <si>
    <t xml:space="preserve">Red means graphed data by:— J.M.Sablayrolles INRA-IPV, Montpellier, France, </t>
  </si>
  <si>
    <t>FERMENT RECORD</t>
  </si>
  <si>
    <t>DATE</t>
  </si>
  <si>
    <t>TIME</t>
  </si>
  <si>
    <t>BRIX</t>
  </si>
  <si>
    <t>TEMP</t>
  </si>
  <si>
    <t>58W3</t>
  </si>
  <si>
    <t>71B</t>
  </si>
  <si>
    <t>AMH</t>
  </si>
  <si>
    <t>Ba11</t>
  </si>
  <si>
    <t>BDX</t>
  </si>
  <si>
    <t>BM 4X4</t>
  </si>
  <si>
    <t>BM45</t>
  </si>
  <si>
    <t>Clos</t>
  </si>
  <si>
    <t>CY 3079</t>
  </si>
  <si>
    <t>D21</t>
  </si>
  <si>
    <t>D254</t>
  </si>
  <si>
    <t>D47</t>
  </si>
  <si>
    <t>D80</t>
  </si>
  <si>
    <t>DV10</t>
  </si>
  <si>
    <t>EC 1118</t>
  </si>
  <si>
    <t>GRE</t>
  </si>
  <si>
    <t>K1 V1116</t>
  </si>
  <si>
    <t>L2056</t>
  </si>
  <si>
    <t>MT</t>
  </si>
  <si>
    <t>QA23</t>
  </si>
  <si>
    <t>R2</t>
  </si>
  <si>
    <t>RC212</t>
  </si>
  <si>
    <t>R–HST</t>
  </si>
  <si>
    <t>RP15</t>
  </si>
  <si>
    <t>Syrah</t>
  </si>
  <si>
    <t>T306</t>
  </si>
  <si>
    <t>VL1</t>
  </si>
  <si>
    <t>W15</t>
  </si>
  <si>
    <t>Sort #</t>
  </si>
  <si>
    <t>JUICE L/ Lb</t>
  </si>
  <si>
    <t>Bordeaux</t>
  </si>
  <si>
    <t>Cab Sauvignon</t>
  </si>
  <si>
    <t>Chardonnay</t>
  </si>
  <si>
    <t>Grenache</t>
  </si>
  <si>
    <t>Mediterranean</t>
  </si>
  <si>
    <t>Merlot</t>
  </si>
  <si>
    <t>Petit Sirah</t>
  </si>
  <si>
    <t>Pinot Noir</t>
  </si>
  <si>
    <t>Riesling</t>
  </si>
  <si>
    <t>Viognier</t>
  </si>
  <si>
    <t>White Grapes</t>
  </si>
  <si>
    <t>Zinfandel</t>
  </si>
  <si>
    <t>Low</t>
  </si>
  <si>
    <t>Med</t>
  </si>
  <si>
    <t>High</t>
  </si>
  <si>
    <t>Grape</t>
  </si>
  <si>
    <t>Cabernet Franc</t>
  </si>
  <si>
    <t xml:space="preserve"> </t>
  </si>
  <si>
    <t>Opal</t>
  </si>
  <si>
    <t>SVG</t>
  </si>
  <si>
    <t>MUST / YEAST/ NUTRIENT CALCULATIONS</t>
  </si>
  <si>
    <t>MUST CALCULATIONS</t>
  </si>
  <si>
    <t>MUST VOLUME</t>
  </si>
  <si>
    <t>JUICE VOLUME</t>
  </si>
  <si>
    <t>MUST WEIGHT</t>
  </si>
  <si>
    <t>PAIL I.D.</t>
  </si>
  <si>
    <t>Volume
Crush
(L)</t>
  </si>
  <si>
    <t>Pail Freeboard
 ( mm)</t>
  </si>
  <si>
    <t>Volume
Juice
(L)</t>
  </si>
  <si>
    <t>CRUSHED
Destemmed
(LBS)</t>
  </si>
  <si>
    <t>TOTAL (L)</t>
  </si>
  <si>
    <t>TOTAL WEIGHT</t>
  </si>
  <si>
    <t>MUST CHAPTILIZATION CALCULATOR</t>
  </si>
  <si>
    <t>Volume Juice (L)</t>
  </si>
  <si>
    <t>Original Brix</t>
  </si>
  <si>
    <t>Desired °B</t>
  </si>
  <si>
    <t>Sugar (Lbs)</t>
  </si>
  <si>
    <t>Pounds Must</t>
  </si>
  <si>
    <t>Weight
Crushed &amp;
Destemmed (lbs)</t>
  </si>
  <si>
    <t>DEFICIENCY</t>
  </si>
  <si>
    <t xml:space="preserve"> ° BRIX</t>
  </si>
  <si>
    <t>Fermaid O</t>
  </si>
  <si>
    <t>Fermaid O (g)</t>
  </si>
  <si>
    <t>0.0075–0.015g/lb</t>
  </si>
  <si>
    <t>Color Pro</t>
  </si>
  <si>
    <t>0.0075–0.015</t>
  </si>
  <si>
    <t>0.03—0.05 mL/lb</t>
  </si>
  <si>
    <t xml:space="preserve">Target </t>
  </si>
  <si>
    <t>Booster Rouge</t>
  </si>
  <si>
    <t>° Brix of Must</t>
  </si>
  <si>
    <t>YAN Level</t>
  </si>
  <si>
    <t>0.30 g/L</t>
  </si>
  <si>
    <t>0.05—3.00 g/L</t>
  </si>
  <si>
    <t>1.00—3.00 g/L</t>
  </si>
  <si>
    <t>0.50 g/L</t>
  </si>
  <si>
    <t>0.20—0.03 g/L</t>
  </si>
  <si>
    <t>YEAST MULTIPLIER
Two LOOKUP TABLES</t>
  </si>
  <si>
    <t>Cristalline Plus</t>
  </si>
  <si>
    <t>0.015—0.03 g/L</t>
  </si>
  <si>
    <t>Gelocolle</t>
  </si>
  <si>
    <t>0.20—1.00 g/L</t>
  </si>
  <si>
    <t>Gelatin</t>
  </si>
  <si>
    <t>0.2—0.35 g/L</t>
  </si>
  <si>
    <t>Sparkalloid</t>
  </si>
  <si>
    <t>0.12—0.48 g/L</t>
  </si>
  <si>
    <t xml:space="preserve">Scott Lab descriptor of Low, Med, High, Nitrogen needs were assigned multiplier values </t>
  </si>
  <si>
    <t>COMMENTS</t>
  </si>
  <si>
    <t>RBS 133</t>
  </si>
  <si>
    <t>Cab Franc</t>
  </si>
  <si>
    <t>2014 crush</t>
  </si>
  <si>
    <t>Pinot Gris</t>
  </si>
  <si>
    <t>MUST BLENDING / AMELIERATION CALCULATOR</t>
  </si>
  <si>
    <t xml:space="preserve">C — </t>
  </si>
  <si>
    <t xml:space="preserve">D — </t>
  </si>
  <si>
    <t>A — Cab Franc</t>
  </si>
  <si>
    <t xml:space="preserve">B — </t>
  </si>
  <si>
    <t>BM 4X4 tested at 1.80. respectively by J.M. Sablayrolles.</t>
  </si>
  <si>
    <t>.i.e. EC 1118, K1 V1116, are rated Low by Scott Lab and was tested at 1.20, 1.30 by Sablayrolles.</t>
  </si>
  <si>
    <t>Ratings are adjusted to Scott Lab 2015 Fermentation Handbook</t>
  </si>
  <si>
    <t xml:space="preserve"> also the multiplier may be edited to your preference. BUT the 1st and 2nd columns must be sorted in ascending order.</t>
  </si>
  <si>
    <t xml:space="preserve"> Enter new yeast in the middle of the column and re-sort the table.</t>
  </si>
  <si>
    <t xml:space="preserve"> Right click on A32  and choose Format Control  to edit and errors. </t>
  </si>
  <si>
    <t>Additional yeasts may be added by editing the Lookup table by inserting new rows,</t>
  </si>
  <si>
    <t>Scott
Lab</t>
  </si>
  <si>
    <r>
      <t>Scott Lab</t>
    </r>
    <r>
      <rPr>
        <b/>
        <sz val="10"/>
        <rFont val="Arial"/>
        <family val="2"/>
      </rPr>
      <t xml:space="preserve"> low</t>
    </r>
    <r>
      <rPr>
        <sz val="10"/>
        <rFont val="Arial"/>
        <family val="2"/>
      </rPr>
      <t xml:space="preserve"> rating is assigned a value of </t>
    </r>
    <r>
      <rPr>
        <b/>
        <sz val="10"/>
        <rFont val="Arial"/>
        <family val="2"/>
      </rPr>
      <t>1.0</t>
    </r>
  </si>
  <si>
    <r>
      <t xml:space="preserve">Scott Lab </t>
    </r>
    <r>
      <rPr>
        <b/>
        <sz val="10"/>
        <rFont val="Arial"/>
        <family val="2"/>
      </rPr>
      <t>high</t>
    </r>
    <r>
      <rPr>
        <sz val="10"/>
        <rFont val="Arial"/>
        <family val="2"/>
      </rPr>
      <t xml:space="preserve"> rating is assigned a value of </t>
    </r>
    <r>
      <rPr>
        <b/>
        <sz val="10"/>
        <rFont val="Arial"/>
        <family val="2"/>
      </rPr>
      <t>1.7</t>
    </r>
  </si>
  <si>
    <r>
      <t xml:space="preserve">Scott Lab </t>
    </r>
    <r>
      <rPr>
        <b/>
        <sz val="10"/>
        <rFont val="Arial"/>
        <family val="2"/>
      </rPr>
      <t>medium</t>
    </r>
    <r>
      <rPr>
        <sz val="10"/>
        <rFont val="Arial"/>
        <family val="2"/>
      </rPr>
      <t xml:space="preserve"> rating is assigned a value of</t>
    </r>
    <r>
      <rPr>
        <b/>
        <sz val="10"/>
        <rFont val="Arial"/>
        <family val="2"/>
      </rPr>
      <t xml:space="preserve"> 1.3</t>
    </r>
  </si>
  <si>
    <t>2015 crush</t>
  </si>
  <si>
    <t>Lallzyme EX V</t>
  </si>
  <si>
    <t>0.005–0.01g/lb</t>
  </si>
  <si>
    <t>Original TA</t>
  </si>
  <si>
    <t>Desired TA</t>
  </si>
  <si>
    <t>START
UP</t>
  </si>
  <si>
    <t>POST
LAG</t>
  </si>
  <si>
    <t>T.Riche Extra</t>
  </si>
  <si>
    <t>Amount to
Add
g or mL</t>
  </si>
  <si>
    <t>3 RD</t>
  </si>
  <si>
    <t>TOTALS</t>
  </si>
  <si>
    <t>TOTAL ORGANIC AND DAP mgN/L</t>
  </si>
  <si>
    <t>0.15—0.70g/L</t>
  </si>
  <si>
    <t>VR Supra</t>
  </si>
  <si>
    <t>0.10—0.8 g/L</t>
  </si>
  <si>
    <t>Juice 
Volume
Estimate
 (L)</t>
  </si>
  <si>
    <t>Volume
JUICE or MUST
MEASURED 
(L)</t>
  </si>
  <si>
    <t>ACID
ADJUSTMENT</t>
  </si>
  <si>
    <t>Target YAN
mgN/L</t>
  </si>
  <si>
    <t>TOTAL mgN/L SUPPLYED BY NUTRIENTS</t>
  </si>
  <si>
    <t>1/3 Ferment
OR
&lt; 9% Alcohol</t>
  </si>
  <si>
    <t>FERMAID K, FERMAID O,
SUPERFOOD DISTRIBUTION</t>
  </si>
  <si>
    <t>Sauv Blanc</t>
  </si>
  <si>
    <t>CUMULATIVE
mgN/L</t>
  </si>
  <si>
    <t>TOTAL
Tartaric Acid grams</t>
  </si>
  <si>
    <r>
      <t xml:space="preserve">      </t>
    </r>
    <r>
      <rPr>
        <b/>
        <sz val="11"/>
        <color rgb="FFFF0000"/>
        <rFont val="Arial"/>
        <family val="2"/>
      </rPr>
      <t>NOTE:—</t>
    </r>
    <r>
      <rPr>
        <b/>
        <sz val="11"/>
        <color indexed="12"/>
        <rFont val="Arial"/>
        <family val="2"/>
      </rPr>
      <t xml:space="preserve"> </t>
    </r>
    <r>
      <rPr>
        <b/>
        <sz val="11"/>
        <rFont val="Arial"/>
        <family val="2"/>
      </rPr>
      <t xml:space="preserve"> EDIT GREEN CELLS </t>
    </r>
    <r>
      <rPr>
        <b/>
        <sz val="11"/>
        <color indexed="12"/>
        <rFont val="Arial"/>
        <family val="2"/>
      </rPr>
      <t xml:space="preserve"> — THE BLUE NUMBERS ARE CALCULATED AND LOCKED</t>
    </r>
  </si>
  <si>
    <t>Vineyard:—</t>
  </si>
  <si>
    <t>Gewürztraminer</t>
  </si>
  <si>
    <t xml:space="preserve">   Nutrient and yeast data was obtained from "2015 Scott Laboratories Handbook".  Scott Labs issues a new handbook in PDF format each year. More information can be found at Scott Laboratorie's website:– www.scottlaboratories.com</t>
  </si>
  <si>
    <t>Jeff Crowley; Tucelnuit Dr., Oliver, B.C.</t>
  </si>
  <si>
    <t>THIS VALUE SHOULD EQUAL VALUE IN CELL D32</t>
  </si>
  <si>
    <t>PAIL TARE
(LBS)</t>
  </si>
  <si>
    <t>PAIL WEIGHT
(LBS)</t>
  </si>
  <si>
    <t>Number 
of Bottles
(750 mL)</t>
  </si>
  <si>
    <r>
      <t>Date Picked:—</t>
    </r>
    <r>
      <rPr>
        <b/>
        <sz val="10"/>
        <rFont val="Arial"/>
        <family val="2"/>
      </rPr>
      <t xml:space="preserve"> </t>
    </r>
  </si>
  <si>
    <t xml:space="preserve"> YAN Target Level = (Brix X 7.35+3.85)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</si>
</sst>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8" formatCode="&quot;$&quot;#,##0.00;[Red]\-&quot;$&quot;#,##0.00"/>
    <numFmt numFmtId="44" formatCode="_-&quot;$&quot;* #,##0.00_-;\-&quot;$&quot;* #,##0.00_-;_-&quot;$&quot;* &quot;-&quot;??_-;_-@_-"/>
    <numFmt numFmtId="164" formatCode="0.0"/>
    <numFmt numFmtId="165" formatCode="0.0000"/>
    <numFmt numFmtId="166" formatCode="0.000"/>
    <numFmt numFmtId="167" formatCode="0.0%"/>
    <numFmt numFmtId="168" formatCode="_(* #,##0.00_);_(* \(#,##0.00\);_(* &quot;-&quot;??_);_(@_)"/>
    <numFmt numFmtId="170" formatCode="[$-1009]d\-mmm\-yy;@"/>
  </numFmts>
  <fonts count="47"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4"/>
      <name val="Arial"/>
      <family val="2"/>
    </font>
    <font>
      <b/>
      <sz val="12"/>
      <name val="Arial"/>
      <family val="2"/>
    </font>
    <font>
      <b/>
      <sz val="11"/>
      <name val="Arial"/>
      <family val="2"/>
    </font>
    <font>
      <sz val="11"/>
      <name val="Arial"/>
      <family val="2"/>
    </font>
    <font>
      <sz val="12"/>
      <name val="Arial"/>
      <family val="2"/>
    </font>
    <font>
      <b/>
      <sz val="10"/>
      <name val="Arial"/>
      <family val="2"/>
    </font>
    <font>
      <b/>
      <sz val="10"/>
      <color indexed="20"/>
      <name val="Arial"/>
      <family val="2"/>
    </font>
    <font>
      <b/>
      <sz val="8"/>
      <name val="Verdana"/>
      <family val="2"/>
    </font>
    <font>
      <b/>
      <sz val="11"/>
      <color indexed="12"/>
      <name val="Arial"/>
      <family val="2"/>
    </font>
    <font>
      <b/>
      <sz val="12"/>
      <color indexed="12"/>
      <name val="Arial"/>
      <family val="2"/>
    </font>
    <font>
      <b/>
      <sz val="10"/>
      <color indexed="12"/>
      <name val="Arial"/>
      <family val="2"/>
    </font>
    <font>
      <b/>
      <sz val="12"/>
      <color theme="3" tint="0.39994506668294322"/>
      <name val="Arial"/>
      <family val="2"/>
    </font>
    <font>
      <b/>
      <sz val="12"/>
      <color theme="6" tint="-0.24994659260841701"/>
      <name val="Arial"/>
      <family val="2"/>
    </font>
    <font>
      <b/>
      <vertAlign val="subscript"/>
      <sz val="8"/>
      <name val="Verdana"/>
      <family val="2"/>
    </font>
    <font>
      <sz val="8"/>
      <name val="Verdana"/>
      <family val="2"/>
    </font>
    <font>
      <sz val="12"/>
      <name val="Tahoma"/>
      <family val="2"/>
    </font>
    <font>
      <sz val="10"/>
      <color rgb="FFFF0000"/>
      <name val="Arial"/>
      <family val="2"/>
    </font>
    <font>
      <sz val="10"/>
      <color rgb="FF002060"/>
      <name val="Arial"/>
      <family val="2"/>
    </font>
    <font>
      <b/>
      <sz val="9"/>
      <name val="Arial"/>
      <family val="2"/>
    </font>
    <font>
      <sz val="8"/>
      <name val="Arial"/>
      <family val="2"/>
    </font>
    <font>
      <sz val="9"/>
      <name val="Arial"/>
      <family val="2"/>
    </font>
    <font>
      <b/>
      <sz val="9"/>
      <color indexed="81"/>
      <name val="Tahoma"/>
      <family val="2"/>
    </font>
    <font>
      <sz val="9"/>
      <color indexed="81"/>
      <name val="Tahoma"/>
      <family val="2"/>
    </font>
    <font>
      <b/>
      <sz val="8"/>
      <color indexed="81"/>
      <name val="Tahoma"/>
      <family val="2"/>
    </font>
    <font>
      <b/>
      <sz val="10"/>
      <color indexed="81"/>
      <name val="Tahoma"/>
      <family val="2"/>
    </font>
    <font>
      <b/>
      <vertAlign val="subscript"/>
      <sz val="9"/>
      <color indexed="81"/>
      <name val="Tahoma"/>
      <family val="2"/>
    </font>
    <font>
      <b/>
      <sz val="10"/>
      <color rgb="FF0000FF"/>
      <name val="Arial"/>
      <family val="2"/>
    </font>
    <font>
      <sz val="10"/>
      <name val="Tahoma"/>
      <family val="2"/>
    </font>
    <font>
      <b/>
      <sz val="10"/>
      <color rgb="FF009900"/>
      <name val="Arial"/>
      <family val="2"/>
    </font>
    <font>
      <b/>
      <sz val="10"/>
      <color rgb="FF6600FF"/>
      <name val="Arial"/>
      <family val="2"/>
    </font>
    <font>
      <b/>
      <sz val="10"/>
      <color theme="5" tint="-0.499984740745262"/>
      <name val="Arial"/>
      <family val="2"/>
    </font>
    <font>
      <b/>
      <sz val="10"/>
      <color rgb="FFFF0000"/>
      <name val="Arial"/>
      <family val="2"/>
    </font>
    <font>
      <b/>
      <sz val="12"/>
      <color rgb="FF0000FF"/>
      <name val="Arial"/>
      <family val="2"/>
    </font>
    <font>
      <b/>
      <sz val="10"/>
      <color rgb="FFC00000"/>
      <name val="Arial"/>
      <family val="2"/>
    </font>
    <font>
      <sz val="10"/>
      <color rgb="FF0000FF"/>
      <name val="Arial"/>
      <family val="2"/>
    </font>
    <font>
      <b/>
      <sz val="11"/>
      <color rgb="FF0000FF"/>
      <name val="Arial"/>
      <family val="2"/>
    </font>
    <font>
      <b/>
      <sz val="11"/>
      <name val="Verdana"/>
      <family val="2"/>
    </font>
    <font>
      <b/>
      <sz val="11"/>
      <color rgb="FF009900"/>
      <name val="Arial"/>
      <family val="2"/>
    </font>
    <font>
      <b/>
      <sz val="11"/>
      <color rgb="FFFF0000"/>
      <name val="Arial"/>
      <family val="2"/>
    </font>
    <font>
      <sz val="9"/>
      <color indexed="81"/>
      <name val="Tahoma"/>
      <charset val="1"/>
    </font>
    <font>
      <b/>
      <sz val="9"/>
      <color indexed="81"/>
      <name val="Tahoma"/>
      <charset val="1"/>
    </font>
  </fonts>
  <fills count="5">
    <fill>
      <patternFill patternType="none"/>
    </fill>
    <fill>
      <patternFill patternType="gray125"/>
    </fill>
    <fill>
      <gradientFill degree="270">
        <stop position="0">
          <color theme="0"/>
        </stop>
        <stop position="1">
          <color theme="7" tint="0.59999389629810485"/>
        </stop>
      </gradientFill>
    </fill>
    <fill>
      <patternFill patternType="solid">
        <fgColor rgb="FFF1FDE7"/>
        <bgColor indexed="64"/>
      </patternFill>
    </fill>
    <fill>
      <patternFill patternType="solid">
        <fgColor rgb="FFF5FFEB"/>
        <bgColor indexed="64"/>
      </patternFill>
    </fill>
  </fills>
  <borders count="13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auto="1"/>
      </top>
      <bottom style="thin">
        <color rgb="FF002060"/>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bottom style="thin">
        <color rgb="FF002060"/>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bottom/>
      <diagonal/>
    </border>
    <border>
      <left/>
      <right/>
      <top/>
      <bottom style="medium">
        <color rgb="FFFF0000"/>
      </bottom>
      <diagonal/>
    </border>
    <border>
      <left/>
      <right style="medium">
        <color rgb="FFFF0000"/>
      </right>
      <top/>
      <bottom style="medium">
        <color rgb="FFFF0000"/>
      </bottom>
      <diagonal/>
    </border>
    <border>
      <left/>
      <right/>
      <top style="thin">
        <color indexed="64"/>
      </top>
      <bottom/>
      <diagonal/>
    </border>
    <border>
      <left style="medium">
        <color rgb="FFFF0000"/>
      </left>
      <right/>
      <top/>
      <bottom style="medium">
        <color rgb="FFFF0000"/>
      </bottom>
      <diagonal/>
    </border>
    <border>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thin">
        <color indexed="56"/>
      </left>
      <right style="thin">
        <color indexed="56"/>
      </right>
      <top style="thin">
        <color indexed="56"/>
      </top>
      <bottom style="thin">
        <color indexed="56"/>
      </bottom>
      <diagonal/>
    </border>
    <border>
      <left/>
      <right style="thin">
        <color indexed="56"/>
      </right>
      <top style="thin">
        <color indexed="56"/>
      </top>
      <bottom style="thin">
        <color indexed="56"/>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diagonal/>
    </border>
    <border>
      <left style="thin">
        <color rgb="FF002060"/>
      </left>
      <right/>
      <top style="thin">
        <color rgb="FF002060"/>
      </top>
      <bottom style="thin">
        <color rgb="FF002060"/>
      </bottom>
      <diagonal/>
    </border>
    <border>
      <left style="medium">
        <color rgb="FF009900"/>
      </left>
      <right style="thin">
        <color indexed="64"/>
      </right>
      <top style="medium">
        <color rgb="FF009900"/>
      </top>
      <bottom style="thin">
        <color indexed="64"/>
      </bottom>
      <diagonal/>
    </border>
    <border>
      <left style="thin">
        <color indexed="64"/>
      </left>
      <right style="thin">
        <color indexed="64"/>
      </right>
      <top style="medium">
        <color rgb="FF009900"/>
      </top>
      <bottom style="thin">
        <color indexed="64"/>
      </bottom>
      <diagonal/>
    </border>
    <border>
      <left style="thin">
        <color indexed="64"/>
      </left>
      <right style="medium">
        <color rgb="FF009900"/>
      </right>
      <top style="medium">
        <color rgb="FF009900"/>
      </top>
      <bottom/>
      <diagonal/>
    </border>
    <border>
      <left style="medium">
        <color rgb="FF009900"/>
      </left>
      <right style="thin">
        <color indexed="64"/>
      </right>
      <top style="thin">
        <color indexed="64"/>
      </top>
      <bottom style="medium">
        <color rgb="FF009900"/>
      </bottom>
      <diagonal/>
    </border>
    <border>
      <left style="thin">
        <color indexed="64"/>
      </left>
      <right style="thin">
        <color indexed="64"/>
      </right>
      <top style="thin">
        <color indexed="64"/>
      </top>
      <bottom style="medium">
        <color rgb="FF009900"/>
      </bottom>
      <diagonal/>
    </border>
    <border>
      <left style="thin">
        <color indexed="64"/>
      </left>
      <right style="medium">
        <color rgb="FF009900"/>
      </right>
      <top style="thin">
        <color indexed="64"/>
      </top>
      <bottom style="medium">
        <color rgb="FF009900"/>
      </bottom>
      <diagonal/>
    </border>
    <border>
      <left/>
      <right/>
      <top style="medium">
        <color rgb="FF009900"/>
      </top>
      <bottom/>
      <diagonal/>
    </border>
    <border>
      <left style="medium">
        <color rgb="FF7030A0"/>
      </left>
      <right style="thin">
        <color indexed="64"/>
      </right>
      <top style="medium">
        <color rgb="FF7030A0"/>
      </top>
      <bottom style="thin">
        <color indexed="64"/>
      </bottom>
      <diagonal/>
    </border>
    <border>
      <left style="thin">
        <color indexed="64"/>
      </left>
      <right style="thin">
        <color indexed="64"/>
      </right>
      <top style="medium">
        <color rgb="FF7030A0"/>
      </top>
      <bottom style="thin">
        <color indexed="64"/>
      </bottom>
      <diagonal/>
    </border>
    <border>
      <left style="thin">
        <color rgb="FF002060"/>
      </left>
      <right style="medium">
        <color rgb="FF7030A0"/>
      </right>
      <top style="medium">
        <color rgb="FF7030A0"/>
      </top>
      <bottom/>
      <diagonal/>
    </border>
    <border>
      <left style="medium">
        <color rgb="FF7030A0"/>
      </left>
      <right style="thin">
        <color indexed="64"/>
      </right>
      <top style="thin">
        <color indexed="64"/>
      </top>
      <bottom style="medium">
        <color rgb="FF7030A0"/>
      </bottom>
      <diagonal/>
    </border>
    <border>
      <left style="thin">
        <color indexed="64"/>
      </left>
      <right style="thin">
        <color indexed="64"/>
      </right>
      <top style="thin">
        <color indexed="64"/>
      </top>
      <bottom style="medium">
        <color rgb="FF7030A0"/>
      </bottom>
      <diagonal/>
    </border>
    <border>
      <left style="thin">
        <color indexed="64"/>
      </left>
      <right style="medium">
        <color rgb="FF7030A0"/>
      </right>
      <top style="thin">
        <color indexed="64"/>
      </top>
      <bottom style="medium">
        <color rgb="FF7030A0"/>
      </bottom>
      <diagonal/>
    </border>
    <border>
      <left style="thin">
        <color indexed="64"/>
      </left>
      <right style="double">
        <color indexed="64"/>
      </right>
      <top style="thin">
        <color rgb="FF002060"/>
      </top>
      <bottom style="double">
        <color indexed="64"/>
      </bottom>
      <diagonal/>
    </border>
    <border>
      <left style="thin">
        <color indexed="64"/>
      </left>
      <right style="thin">
        <color indexed="64"/>
      </right>
      <top style="thin">
        <color indexed="64"/>
      </top>
      <bottom style="double">
        <color indexed="64"/>
      </bottom>
      <diagonal/>
    </border>
    <border>
      <left style="hair">
        <color indexed="64"/>
      </left>
      <right style="hair">
        <color indexed="64"/>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rgb="FFC00000"/>
      </right>
      <top style="thin">
        <color indexed="64"/>
      </top>
      <bottom/>
      <diagonal/>
    </border>
    <border>
      <left style="thin">
        <color indexed="64"/>
      </left>
      <right style="medium">
        <color rgb="FFC00000"/>
      </right>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rgb="FF002060"/>
      </left>
      <right style="thin">
        <color rgb="FF002060"/>
      </right>
      <top/>
      <bottom style="medium">
        <color indexed="64"/>
      </bottom>
      <diagonal/>
    </border>
    <border>
      <left style="thin">
        <color rgb="FF002060"/>
      </left>
      <right style="medium">
        <color indexed="64"/>
      </right>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style="medium">
        <color indexed="64"/>
      </left>
      <right style="medium">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rgb="FF002060"/>
      </left>
      <right style="medium">
        <color indexed="64"/>
      </right>
      <top style="thin">
        <color rgb="FF002060"/>
      </top>
      <bottom style="thin">
        <color rgb="FF002060"/>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thin">
        <color rgb="FF002060"/>
      </left>
      <right style="medium">
        <color indexed="64"/>
      </right>
      <top style="thin">
        <color rgb="FF002060"/>
      </top>
      <bottom/>
      <diagonal/>
    </border>
    <border>
      <left style="thin">
        <color rgb="FF002060"/>
      </left>
      <right style="medium">
        <color indexed="64"/>
      </right>
      <top/>
      <bottom style="thin">
        <color rgb="FF002060"/>
      </bottom>
      <diagonal/>
    </border>
    <border>
      <left style="medium">
        <color indexed="64"/>
      </left>
      <right style="thin">
        <color indexed="64"/>
      </right>
      <top style="thin">
        <color indexed="64"/>
      </top>
      <bottom style="medium">
        <color indexed="64"/>
      </bottom>
      <diagonal/>
    </border>
    <border>
      <left style="medium">
        <color rgb="FFFF0000"/>
      </left>
      <right style="medium">
        <color indexed="10"/>
      </right>
      <top/>
      <bottom/>
      <diagonal/>
    </border>
    <border>
      <left style="medium">
        <color indexed="10"/>
      </left>
      <right style="medium">
        <color auto="1"/>
      </right>
      <top style="medium">
        <color indexed="10"/>
      </top>
      <bottom style="medium">
        <color indexed="10"/>
      </bottom>
      <diagonal/>
    </border>
    <border>
      <left style="medium">
        <color rgb="FFC00000"/>
      </left>
      <right style="medium">
        <color auto="1"/>
      </right>
      <top style="medium">
        <color indexed="10"/>
      </top>
      <bottom/>
      <diagonal/>
    </border>
    <border>
      <left style="medium">
        <color rgb="FFC00000"/>
      </left>
      <right style="medium">
        <color auto="1"/>
      </right>
      <top/>
      <bottom style="thin">
        <color indexed="64"/>
      </bottom>
      <diagonal/>
    </border>
    <border>
      <left style="medium">
        <color rgb="FFC00000"/>
      </left>
      <right style="medium">
        <color auto="1"/>
      </right>
      <top style="thin">
        <color indexed="64"/>
      </top>
      <bottom style="thin">
        <color indexed="64"/>
      </bottom>
      <diagonal/>
    </border>
    <border>
      <left style="thin">
        <color indexed="64"/>
      </left>
      <right style="thin">
        <color indexed="64"/>
      </right>
      <top style="thin">
        <color indexed="64"/>
      </top>
      <bottom style="medium">
        <color auto="1"/>
      </bottom>
      <diagonal/>
    </border>
    <border>
      <left style="medium">
        <color rgb="FFC00000"/>
      </left>
      <right style="medium">
        <color auto="1"/>
      </right>
      <top style="thin">
        <color indexed="64"/>
      </top>
      <bottom style="medium">
        <color auto="1"/>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rgb="FF002060"/>
      </left>
      <right/>
      <top/>
      <bottom style="medium">
        <color indexed="64"/>
      </bottom>
      <diagonal/>
    </border>
    <border>
      <left style="double">
        <color indexed="64"/>
      </left>
      <right/>
      <top style="thin">
        <color indexed="64"/>
      </top>
      <bottom style="medium">
        <color indexed="64"/>
      </bottom>
      <diagonal/>
    </border>
    <border>
      <left style="thin">
        <color indexed="64"/>
      </left>
      <right style="medium">
        <color indexed="64"/>
      </right>
      <top style="thin">
        <color rgb="FF002060"/>
      </top>
      <bottom style="thin">
        <color rgb="FF002060"/>
      </bottom>
      <diagonal/>
    </border>
    <border>
      <left style="thin">
        <color indexed="64"/>
      </left>
      <right style="medium">
        <color indexed="64"/>
      </right>
      <top style="thin">
        <color rgb="FF002060"/>
      </top>
      <bottom style="double">
        <color indexed="64"/>
      </bottom>
      <diagonal/>
    </border>
    <border>
      <left style="medium">
        <color indexed="64"/>
      </left>
      <right style="thin">
        <color rgb="FF002060"/>
      </right>
      <top style="thin">
        <color indexed="64"/>
      </top>
      <bottom style="medium">
        <color indexed="64"/>
      </bottom>
      <diagonal/>
    </border>
    <border>
      <left style="medium">
        <color rgb="FF0070C0"/>
      </left>
      <right style="medium">
        <color rgb="FF0070C0"/>
      </right>
      <top/>
      <bottom style="thin">
        <color indexed="64"/>
      </bottom>
      <diagonal/>
    </border>
    <border>
      <left style="medium">
        <color rgb="FF0070C0"/>
      </left>
      <right style="medium">
        <color rgb="FF0070C0"/>
      </right>
      <top style="thin">
        <color indexed="64"/>
      </top>
      <bottom style="thin">
        <color indexed="64"/>
      </bottom>
      <diagonal/>
    </border>
    <border>
      <left style="medium">
        <color rgb="FFC00000"/>
      </left>
      <right/>
      <top/>
      <bottom/>
      <diagonal/>
    </border>
    <border>
      <left style="medium">
        <color rgb="FFC00000"/>
      </left>
      <right style="medium">
        <color auto="1"/>
      </right>
      <top style="medium">
        <color indexed="64"/>
      </top>
      <bottom style="medium">
        <color auto="1"/>
      </bottom>
      <diagonal/>
    </border>
    <border>
      <left style="medium">
        <color indexed="64"/>
      </left>
      <right style="thin">
        <color indexed="64"/>
      </right>
      <top style="thin">
        <color indexed="64"/>
      </top>
      <bottom style="double">
        <color indexed="64"/>
      </bottom>
      <diagonal/>
    </border>
    <border>
      <left style="thin">
        <color indexed="64"/>
      </left>
      <right/>
      <top style="medium">
        <color rgb="FF009900"/>
      </top>
      <bottom style="medium">
        <color rgb="FF7030A0"/>
      </bottom>
      <diagonal/>
    </border>
    <border>
      <left/>
      <right style="thin">
        <color indexed="64"/>
      </right>
      <top style="medium">
        <color rgb="FF009900"/>
      </top>
      <bottom style="medium">
        <color rgb="FF7030A0"/>
      </bottom>
      <diagonal/>
    </border>
    <border>
      <left style="medium">
        <color rgb="FF0070C0"/>
      </left>
      <right style="medium">
        <color rgb="FF0070C0"/>
      </right>
      <top/>
      <bottom/>
      <diagonal/>
    </border>
    <border>
      <left style="thin">
        <color indexed="64"/>
      </left>
      <right style="medium">
        <color rgb="FFC00000"/>
      </right>
      <top style="thin">
        <color indexed="64"/>
      </top>
      <bottom style="medium">
        <color indexed="64"/>
      </bottom>
      <diagonal/>
    </border>
    <border>
      <left style="medium">
        <color rgb="FF0070C0"/>
      </left>
      <right style="medium">
        <color rgb="FF0070C0"/>
      </right>
      <top style="medium">
        <color theme="4" tint="-0.24994659260841701"/>
      </top>
      <bottom/>
      <diagonal/>
    </border>
    <border>
      <left style="medium">
        <color theme="6" tint="-0.24994659260841701"/>
      </left>
      <right style="medium">
        <color theme="6" tint="-0.24994659260841701"/>
      </right>
      <top style="thin">
        <color indexed="64"/>
      </top>
      <bottom style="thin">
        <color indexed="64"/>
      </bottom>
      <diagonal/>
    </border>
    <border>
      <left style="double">
        <color indexed="64"/>
      </left>
      <right/>
      <top style="thin">
        <color indexed="64"/>
      </top>
      <bottom style="thin">
        <color indexed="64"/>
      </bottom>
      <diagonal/>
    </border>
    <border>
      <left/>
      <right style="thin">
        <color rgb="FF002060"/>
      </right>
      <top style="thin">
        <color indexed="64"/>
      </top>
      <bottom style="medium">
        <color indexed="64"/>
      </bottom>
      <diagonal/>
    </border>
    <border>
      <left style="medium">
        <color rgb="FF0070C0"/>
      </left>
      <right style="medium">
        <color rgb="FF0070C0"/>
      </right>
      <top style="thin">
        <color indexed="64"/>
      </top>
      <bottom/>
      <diagonal/>
    </border>
    <border>
      <left style="medium">
        <color rgb="FF0070C0"/>
      </left>
      <right style="medium">
        <color rgb="FF0070C0"/>
      </right>
      <top style="thin">
        <color indexed="64"/>
      </top>
      <bottom style="double">
        <color indexed="64"/>
      </bottom>
      <diagonal/>
    </border>
    <border>
      <left style="thin">
        <color rgb="FF002060"/>
      </left>
      <right style="medium">
        <color indexed="64"/>
      </right>
      <top/>
      <bottom/>
      <diagonal/>
    </border>
    <border>
      <left style="thin">
        <color indexed="64"/>
      </left>
      <right style="medium">
        <color indexed="64"/>
      </right>
      <top style="thin">
        <color indexed="64"/>
      </top>
      <bottom style="medium">
        <color auto="1"/>
      </bottom>
      <diagonal/>
    </border>
    <border>
      <left style="thin">
        <color rgb="FF002060"/>
      </left>
      <right/>
      <top style="thin">
        <color rgb="FF002060"/>
      </top>
      <bottom style="medium">
        <color rgb="FF002060"/>
      </bottom>
      <diagonal/>
    </border>
    <border>
      <left/>
      <right style="thin">
        <color indexed="64"/>
      </right>
      <top style="thin">
        <color rgb="FF002060"/>
      </top>
      <bottom style="medium">
        <color rgb="FF002060"/>
      </bottom>
      <diagonal/>
    </border>
    <border>
      <left style="medium">
        <color indexed="64"/>
      </left>
      <right style="medium">
        <color indexed="64"/>
      </right>
      <top style="medium">
        <color indexed="64"/>
      </top>
      <bottom style="thin">
        <color indexed="64"/>
      </bottom>
      <diagonal/>
    </border>
    <border>
      <left style="medium">
        <color theme="6" tint="-0.24994659260841701"/>
      </left>
      <right style="medium">
        <color theme="6" tint="-0.24994659260841701"/>
      </right>
      <top/>
      <bottom style="thin">
        <color theme="6" tint="-0.24994659260841701"/>
      </bottom>
      <diagonal/>
    </border>
    <border>
      <left style="medium">
        <color theme="6" tint="-0.24994659260841701"/>
      </left>
      <right style="medium">
        <color theme="6" tint="-0.24994659260841701"/>
      </right>
      <top style="medium">
        <color theme="6" tint="-0.24994659260841701"/>
      </top>
      <bottom style="medium">
        <color theme="6" tint="-0.24994659260841701"/>
      </bottom>
      <diagonal/>
    </border>
    <border>
      <left style="medium">
        <color theme="6" tint="-0.24994659260841701"/>
      </left>
      <right/>
      <top style="medium">
        <color theme="6" tint="-0.24994659260841701"/>
      </top>
      <bottom style="medium">
        <color theme="6" tint="-0.24994659260841701"/>
      </bottom>
      <diagonal/>
    </border>
    <border>
      <left/>
      <right/>
      <top style="medium">
        <color theme="6" tint="-0.24994659260841701"/>
      </top>
      <bottom style="medium">
        <color theme="6" tint="-0.24994659260841701"/>
      </bottom>
      <diagonal/>
    </border>
    <border>
      <left/>
      <right style="medium">
        <color theme="6" tint="-0.24994659260841701"/>
      </right>
      <top style="medium">
        <color theme="6" tint="-0.24994659260841701"/>
      </top>
      <bottom style="medium">
        <color theme="6" tint="-0.24994659260841701"/>
      </bottom>
      <diagonal/>
    </border>
    <border>
      <left style="medium">
        <color theme="6" tint="-0.24994659260841701"/>
      </left>
      <right style="medium">
        <color theme="6" tint="-0.24994659260841701"/>
      </right>
      <top/>
      <bottom style="double">
        <color indexed="64"/>
      </bottom>
      <diagonal/>
    </border>
    <border>
      <left style="medium">
        <color theme="6" tint="-0.24994659260841701"/>
      </left>
      <right style="medium">
        <color theme="6" tint="-0.24994659260841701"/>
      </right>
      <top style="medium">
        <color theme="6" tint="-0.24994659260841701"/>
      </top>
      <bottom style="thin">
        <color indexed="64"/>
      </bottom>
      <diagonal/>
    </border>
    <border>
      <left style="medium">
        <color rgb="FF0070C0"/>
      </left>
      <right style="medium">
        <color rgb="FF0070C0"/>
      </right>
      <top style="double">
        <color indexed="64"/>
      </top>
      <bottom style="medium">
        <color rgb="FF0070C0"/>
      </bottom>
      <diagonal/>
    </border>
    <border>
      <left style="medium">
        <color rgb="FF0070C0"/>
      </left>
      <right style="medium">
        <color rgb="FF0070C0"/>
      </right>
      <top style="medium">
        <color rgb="FF0070C0"/>
      </top>
      <bottom/>
      <diagonal/>
    </border>
    <border>
      <left/>
      <right/>
      <top/>
      <bottom style="medium">
        <color theme="4" tint="-0.24994659260841701"/>
      </bottom>
      <diagonal/>
    </border>
    <border>
      <left style="medium">
        <color theme="4" tint="-0.24994659260841701"/>
      </left>
      <right/>
      <top style="medium">
        <color theme="4" tint="-0.24994659260841701"/>
      </top>
      <bottom/>
      <diagonal/>
    </border>
    <border>
      <left/>
      <right/>
      <top style="medium">
        <color theme="4" tint="-0.24994659260841701"/>
      </top>
      <bottom/>
      <diagonal/>
    </border>
    <border>
      <left/>
      <right style="medium">
        <color theme="4" tint="-0.24994659260841701"/>
      </right>
      <top style="medium">
        <color theme="4" tint="-0.24994659260841701"/>
      </top>
      <bottom/>
      <diagonal/>
    </border>
    <border>
      <left style="medium">
        <color theme="4" tint="-0.24994659260841701"/>
      </left>
      <right/>
      <top/>
      <bottom style="medium">
        <color theme="4" tint="-0.24994659260841701"/>
      </bottom>
      <diagonal/>
    </border>
    <border>
      <left/>
      <right style="medium">
        <color theme="4" tint="-0.24994659260841701"/>
      </right>
      <top/>
      <bottom style="medium">
        <color theme="4" tint="-0.24994659260841701"/>
      </bottom>
      <diagonal/>
    </border>
    <border>
      <left style="thin">
        <color indexed="64"/>
      </left>
      <right/>
      <top style="medium">
        <color indexed="64"/>
      </top>
      <bottom style="thin">
        <color rgb="FF002060"/>
      </bottom>
      <diagonal/>
    </border>
    <border>
      <left/>
      <right style="thin">
        <color indexed="64"/>
      </right>
      <top style="medium">
        <color indexed="64"/>
      </top>
      <bottom style="thin">
        <color rgb="FF002060"/>
      </bottom>
      <diagonal/>
    </border>
    <border>
      <left style="medium">
        <color indexed="64"/>
      </left>
      <right style="medium">
        <color indexed="64"/>
      </right>
      <top style="thin">
        <color indexed="64"/>
      </top>
      <bottom style="thin">
        <color indexed="64"/>
      </bottom>
      <diagonal/>
    </border>
    <border>
      <left/>
      <right/>
      <top style="double">
        <color indexed="64"/>
      </top>
      <bottom/>
      <diagonal/>
    </border>
    <border>
      <left/>
      <right style="medium">
        <color theme="6" tint="-0.24994659260841701"/>
      </right>
      <top style="double">
        <color indexed="64"/>
      </top>
      <bottom/>
      <diagonal/>
    </border>
    <border>
      <left style="medium">
        <color theme="6" tint="-0.24994659260841701"/>
      </left>
      <right style="medium">
        <color theme="6" tint="-0.24994659260841701"/>
      </right>
      <top style="medium">
        <color theme="6" tint="-0.24994659260841701"/>
      </top>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thin">
        <color indexed="64"/>
      </top>
      <bottom style="medium">
        <color auto="1"/>
      </bottom>
      <diagonal/>
    </border>
    <border>
      <left/>
      <right style="medium">
        <color rgb="FF0070C0"/>
      </right>
      <top style="double">
        <color indexed="64"/>
      </top>
      <bottom/>
      <diagonal/>
    </border>
  </borders>
  <cellStyleXfs count="11">
    <xf numFmtId="0" fontId="0" fillId="0" borderId="0"/>
    <xf numFmtId="0" fontId="5" fillId="0" borderId="0"/>
    <xf numFmtId="168" fontId="5" fillId="0" borderId="0" applyFont="0" applyFill="0" applyBorder="0" applyAlignment="0" applyProtection="0"/>
    <xf numFmtId="44" fontId="4" fillId="0" borderId="0" applyFont="0" applyFill="0" applyBorder="0" applyAlignment="0" applyProtection="0"/>
    <xf numFmtId="0" fontId="4" fillId="0" borderId="0"/>
    <xf numFmtId="44" fontId="3" fillId="0" borderId="0" applyFont="0" applyFill="0" applyBorder="0" applyAlignment="0" applyProtection="0"/>
    <xf numFmtId="0" fontId="3" fillId="0" borderId="0"/>
    <xf numFmtId="0" fontId="2" fillId="0" borderId="0"/>
    <xf numFmtId="0" fontId="2" fillId="0" borderId="0"/>
    <xf numFmtId="44" fontId="2" fillId="0" borderId="0" applyFont="0" applyFill="0" applyBorder="0" applyAlignment="0" applyProtection="0"/>
    <xf numFmtId="0" fontId="1" fillId="0" borderId="0"/>
  </cellStyleXfs>
  <cellXfs count="415">
    <xf numFmtId="0" fontId="0" fillId="0" borderId="0" xfId="0"/>
    <xf numFmtId="0" fontId="6" fillId="0" borderId="0" xfId="0" applyFont="1" applyBorder="1" applyAlignment="1">
      <alignment horizontal="center" vertical="center"/>
    </xf>
    <xf numFmtId="0" fontId="9" fillId="0" borderId="0" xfId="0" applyFont="1"/>
    <xf numFmtId="0" fontId="0" fillId="0" borderId="0" xfId="0" applyFont="1"/>
    <xf numFmtId="0" fontId="6" fillId="0" borderId="0" xfId="0" applyFont="1" applyAlignment="1">
      <alignment horizontal="center"/>
    </xf>
    <xf numFmtId="0" fontId="11" fillId="0" borderId="1" xfId="0" applyFont="1" applyFill="1" applyBorder="1" applyAlignment="1">
      <alignment horizontal="center" vertical="center"/>
    </xf>
    <xf numFmtId="0" fontId="5" fillId="0" borderId="3" xfId="0" applyFont="1" applyBorder="1"/>
    <xf numFmtId="0" fontId="0" fillId="0" borderId="3" xfId="0" applyBorder="1"/>
    <xf numFmtId="0" fontId="11" fillId="0" borderId="1" xfId="0" applyFont="1" applyBorder="1" applyAlignment="1">
      <alignment horizontal="center" vertical="center"/>
    </xf>
    <xf numFmtId="0" fontId="11" fillId="0" borderId="1" xfId="0" applyFont="1" applyBorder="1" applyAlignment="1">
      <alignment horizontal="center" vertical="center" wrapText="1"/>
    </xf>
    <xf numFmtId="0" fontId="12" fillId="0" borderId="0" xfId="0" applyFont="1" applyFill="1" applyBorder="1" applyAlignment="1">
      <alignment horizontal="center" vertical="center" wrapText="1"/>
    </xf>
    <xf numFmtId="0" fontId="0" fillId="0" borderId="7" xfId="0" applyBorder="1"/>
    <xf numFmtId="1" fontId="15" fillId="0" borderId="0" xfId="0" applyNumberFormat="1" applyFont="1" applyBorder="1" applyAlignment="1">
      <alignment horizontal="center"/>
    </xf>
    <xf numFmtId="0" fontId="0" fillId="0" borderId="0" xfId="0" applyBorder="1"/>
    <xf numFmtId="0" fontId="5" fillId="0" borderId="7" xfId="0" applyFont="1" applyBorder="1"/>
    <xf numFmtId="0" fontId="5" fillId="0" borderId="7" xfId="0" applyFont="1" applyFill="1" applyBorder="1"/>
    <xf numFmtId="164" fontId="11" fillId="0" borderId="0" xfId="0" applyNumberFormat="1" applyFont="1" applyBorder="1" applyAlignment="1">
      <alignment horizontal="center" vertical="center"/>
    </xf>
    <xf numFmtId="0" fontId="11" fillId="0" borderId="0" xfId="0" applyFont="1" applyBorder="1" applyAlignment="1">
      <alignment vertical="center"/>
    </xf>
    <xf numFmtId="49" fontId="0" fillId="0" borderId="0" xfId="0" applyNumberFormat="1"/>
    <xf numFmtId="0" fontId="14" fillId="0" borderId="0" xfId="0" applyFont="1" applyFill="1" applyBorder="1" applyAlignment="1">
      <alignment horizontal="left" vertical="center"/>
    </xf>
    <xf numFmtId="0" fontId="9" fillId="0" borderId="0" xfId="0" applyFont="1" applyFill="1"/>
    <xf numFmtId="0" fontId="0" fillId="0" borderId="9" xfId="0" applyBorder="1"/>
    <xf numFmtId="0" fontId="5" fillId="0" borderId="9" xfId="0" applyFont="1" applyFill="1" applyBorder="1"/>
    <xf numFmtId="164" fontId="11" fillId="0" borderId="6" xfId="0" applyNumberFormat="1" applyFont="1" applyBorder="1" applyAlignment="1" applyProtection="1">
      <alignment horizontal="center" vertical="center"/>
      <protection locked="0"/>
    </xf>
    <xf numFmtId="0" fontId="5" fillId="0" borderId="0" xfId="0" applyFont="1" applyFill="1" applyBorder="1"/>
    <xf numFmtId="1" fontId="14" fillId="0" borderId="6" xfId="0" applyNumberFormat="1" applyFont="1" applyBorder="1" applyAlignment="1" applyProtection="1">
      <alignment horizontal="center" vertical="center"/>
    </xf>
    <xf numFmtId="0" fontId="11" fillId="0" borderId="0" xfId="0" applyFont="1" applyBorder="1" applyAlignment="1">
      <alignment horizontal="right" vertical="center"/>
    </xf>
    <xf numFmtId="0" fontId="0" fillId="0" borderId="0" xfId="0" applyAlignment="1">
      <alignment vertical="center"/>
    </xf>
    <xf numFmtId="0" fontId="10" fillId="0" borderId="0" xfId="0" applyFont="1"/>
    <xf numFmtId="0" fontId="11" fillId="0" borderId="0" xfId="0" applyFont="1"/>
    <xf numFmtId="0" fontId="0" fillId="0" borderId="13" xfId="0" applyBorder="1"/>
    <xf numFmtId="0" fontId="0" fillId="0" borderId="14" xfId="0" applyBorder="1"/>
    <xf numFmtId="1" fontId="0" fillId="0" borderId="0" xfId="0" applyNumberFormat="1" applyAlignment="1">
      <alignment horizontal="center"/>
    </xf>
    <xf numFmtId="0" fontId="16" fillId="0" borderId="0" xfId="0" applyFont="1" applyFill="1" applyBorder="1" applyAlignment="1">
      <alignment horizontal="center" vertical="center"/>
    </xf>
    <xf numFmtId="0" fontId="18" fillId="0" borderId="0" xfId="0" applyFont="1" applyFill="1" applyBorder="1" applyAlignment="1">
      <alignment horizontal="center" vertical="top"/>
    </xf>
    <xf numFmtId="0" fontId="6" fillId="0" borderId="0" xfId="0" applyFont="1" applyFill="1"/>
    <xf numFmtId="0" fontId="0" fillId="0" borderId="0" xfId="0" applyFill="1"/>
    <xf numFmtId="166" fontId="20" fillId="0" borderId="6" xfId="0" applyNumberFormat="1" applyFont="1" applyBorder="1" applyAlignment="1" applyProtection="1">
      <alignment horizontal="center" vertical="center"/>
    </xf>
    <xf numFmtId="166" fontId="20" fillId="0" borderId="1" xfId="0" applyNumberFormat="1" applyFont="1" applyBorder="1" applyAlignment="1" applyProtection="1">
      <alignment horizontal="center" vertical="center"/>
    </xf>
    <xf numFmtId="0" fontId="20" fillId="0" borderId="0" xfId="0" applyFont="1" applyBorder="1"/>
    <xf numFmtId="0" fontId="0" fillId="0" borderId="1" xfId="0" applyBorder="1" applyAlignment="1">
      <alignment horizontal="center" vertical="center"/>
    </xf>
    <xf numFmtId="2" fontId="20" fillId="0" borderId="1" xfId="0" applyNumberFormat="1" applyFont="1" applyBorder="1" applyAlignment="1" applyProtection="1">
      <alignment horizontal="center" vertical="center"/>
    </xf>
    <xf numFmtId="0" fontId="21" fillId="0" borderId="0" xfId="0" applyFont="1" applyAlignment="1">
      <alignment horizontal="left" vertical="top" wrapText="1"/>
    </xf>
    <xf numFmtId="166" fontId="20" fillId="0" borderId="1" xfId="0" applyNumberFormat="1" applyFont="1" applyFill="1" applyBorder="1" applyAlignment="1" applyProtection="1">
      <alignment horizontal="center" vertical="center"/>
    </xf>
    <xf numFmtId="166" fontId="20" fillId="0" borderId="12" xfId="0" applyNumberFormat="1" applyFont="1" applyFill="1" applyBorder="1" applyAlignment="1" applyProtection="1">
      <alignment horizontal="center" vertical="center"/>
    </xf>
    <xf numFmtId="166" fontId="20" fillId="0" borderId="7" xfId="0" applyNumberFormat="1" applyFont="1" applyBorder="1" applyAlignment="1" applyProtection="1">
      <alignment horizontal="center" vertical="center"/>
    </xf>
    <xf numFmtId="164" fontId="16" fillId="0" borderId="0" xfId="0" applyNumberFormat="1" applyFont="1" applyBorder="1" applyAlignment="1" applyProtection="1">
      <alignment horizontal="center" vertical="center"/>
    </xf>
    <xf numFmtId="0" fontId="0" fillId="0" borderId="0" xfId="0" applyBorder="1" applyAlignment="1">
      <alignment horizontal="center"/>
    </xf>
    <xf numFmtId="2" fontId="5" fillId="0" borderId="0" xfId="1" applyNumberFormat="1" applyBorder="1" applyAlignment="1">
      <alignment horizontal="center"/>
    </xf>
    <xf numFmtId="0" fontId="0" fillId="0" borderId="0" xfId="0" applyFont="1" applyAlignment="1">
      <alignment horizontal="left"/>
    </xf>
    <xf numFmtId="0" fontId="0" fillId="0" borderId="0" xfId="0" applyAlignment="1">
      <alignment wrapText="1"/>
    </xf>
    <xf numFmtId="49" fontId="11" fillId="0" borderId="0" xfId="0" applyNumberFormat="1" applyFont="1" applyBorder="1"/>
    <xf numFmtId="166" fontId="11" fillId="0" borderId="0" xfId="0" applyNumberFormat="1" applyFont="1" applyBorder="1" applyAlignment="1">
      <alignment horizontal="center"/>
    </xf>
    <xf numFmtId="49" fontId="11" fillId="0" borderId="0" xfId="0" applyNumberFormat="1" applyFont="1" applyFill="1" applyBorder="1"/>
    <xf numFmtId="0" fontId="11" fillId="0" borderId="21" xfId="0" applyFont="1" applyBorder="1"/>
    <xf numFmtId="49" fontId="11" fillId="0" borderId="22" xfId="0" applyNumberFormat="1" applyFont="1" applyFill="1" applyBorder="1" applyAlignment="1">
      <alignment horizontal="center"/>
    </xf>
    <xf numFmtId="0" fontId="11" fillId="0" borderId="21" xfId="0" applyFont="1" applyBorder="1" applyAlignment="1">
      <alignment horizontal="center"/>
    </xf>
    <xf numFmtId="49" fontId="11" fillId="0" borderId="15" xfId="0" applyNumberFormat="1" applyFont="1" applyFill="1" applyBorder="1"/>
    <xf numFmtId="0" fontId="11" fillId="0" borderId="0" xfId="0" applyFont="1" applyBorder="1" applyAlignment="1">
      <alignment horizontal="center" vertical="center"/>
    </xf>
    <xf numFmtId="0" fontId="24" fillId="0" borderId="0" xfId="0" applyFont="1" applyBorder="1" applyAlignment="1">
      <alignment horizontal="center" vertical="center" wrapText="1"/>
    </xf>
    <xf numFmtId="0" fontId="25" fillId="0" borderId="0" xfId="0" applyFont="1" applyBorder="1" applyAlignment="1">
      <alignment horizontal="center" vertical="center" wrapText="1"/>
    </xf>
    <xf numFmtId="0" fontId="25" fillId="0" borderId="0" xfId="0" applyFont="1" applyBorder="1" applyAlignment="1">
      <alignment horizontal="center"/>
    </xf>
    <xf numFmtId="0" fontId="25" fillId="0" borderId="0" xfId="0" applyFont="1" applyBorder="1" applyAlignment="1">
      <alignment horizontal="center" vertical="center"/>
    </xf>
    <xf numFmtId="9" fontId="25" fillId="0" borderId="0" xfId="0" applyNumberFormat="1" applyFont="1" applyBorder="1" applyAlignment="1">
      <alignment horizontal="center"/>
    </xf>
    <xf numFmtId="0" fontId="26" fillId="0" borderId="0" xfId="0" applyFont="1" applyBorder="1" applyAlignment="1">
      <alignment horizontal="center"/>
    </xf>
    <xf numFmtId="0" fontId="26" fillId="0" borderId="0" xfId="0" applyFont="1" applyBorder="1"/>
    <xf numFmtId="0" fontId="24" fillId="0" borderId="0" xfId="0" applyFont="1" applyBorder="1" applyAlignment="1">
      <alignment horizontal="center" vertical="center"/>
    </xf>
    <xf numFmtId="0" fontId="24" fillId="0" borderId="0" xfId="0" applyFont="1" applyFill="1" applyBorder="1" applyAlignment="1">
      <alignment horizontal="center" vertical="center"/>
    </xf>
    <xf numFmtId="0" fontId="26" fillId="0" borderId="0" xfId="0" applyFont="1" applyBorder="1" applyAlignment="1">
      <alignment horizontal="center" vertical="center"/>
    </xf>
    <xf numFmtId="167" fontId="25" fillId="0" borderId="0" xfId="0" applyNumberFormat="1" applyFont="1" applyBorder="1" applyAlignment="1">
      <alignment horizontal="center"/>
    </xf>
    <xf numFmtId="0" fontId="0" fillId="0" borderId="0" xfId="0" applyProtection="1">
      <protection locked="0"/>
    </xf>
    <xf numFmtId="170" fontId="9" fillId="0" borderId="0" xfId="0" applyNumberFormat="1" applyFont="1" applyAlignment="1" applyProtection="1">
      <alignment horizontal="left"/>
      <protection locked="0"/>
    </xf>
    <xf numFmtId="1" fontId="11" fillId="0" borderId="1" xfId="0" applyNumberFormat="1" applyFont="1" applyBorder="1" applyAlignment="1">
      <alignment horizontal="center"/>
    </xf>
    <xf numFmtId="0" fontId="11" fillId="0" borderId="0" xfId="0" applyFont="1" applyAlignment="1">
      <alignment horizontal="center"/>
    </xf>
    <xf numFmtId="0" fontId="33" fillId="0" borderId="18" xfId="0" applyFont="1" applyBorder="1" applyAlignment="1">
      <alignment horizontal="center"/>
    </xf>
    <xf numFmtId="0" fontId="33" fillId="0" borderId="19" xfId="0" applyFont="1" applyBorder="1" applyAlignment="1">
      <alignment horizontal="center"/>
    </xf>
    <xf numFmtId="0" fontId="33" fillId="0" borderId="2" xfId="0" applyFont="1" applyBorder="1" applyAlignment="1">
      <alignment horizontal="center"/>
    </xf>
    <xf numFmtId="0" fontId="33" fillId="0" borderId="11" xfId="0" applyFont="1" applyBorder="1"/>
    <xf numFmtId="0" fontId="33" fillId="0" borderId="2" xfId="0" applyFont="1" applyBorder="1"/>
    <xf numFmtId="0" fontId="33" fillId="0" borderId="17" xfId="0" applyFont="1" applyBorder="1"/>
    <xf numFmtId="0" fontId="33" fillId="0" borderId="10" xfId="0" applyFont="1" applyBorder="1" applyAlignment="1">
      <alignment horizontal="center"/>
    </xf>
    <xf numFmtId="0" fontId="33" fillId="0" borderId="20" xfId="0" applyFont="1" applyBorder="1" applyAlignment="1">
      <alignment horizontal="center"/>
    </xf>
    <xf numFmtId="1" fontId="11" fillId="0" borderId="1" xfId="0" applyNumberFormat="1" applyFont="1" applyBorder="1" applyAlignment="1">
      <alignment horizontal="center" vertical="center" wrapText="1"/>
    </xf>
    <xf numFmtId="49" fontId="11" fillId="0" borderId="1" xfId="0" applyNumberFormat="1" applyFont="1" applyFill="1" applyBorder="1" applyAlignment="1">
      <alignment vertical="center"/>
    </xf>
    <xf numFmtId="49" fontId="11" fillId="0" borderId="1" xfId="0" applyNumberFormat="1" applyFont="1" applyBorder="1" applyAlignment="1">
      <alignment vertical="center"/>
    </xf>
    <xf numFmtId="0" fontId="0" fillId="0" borderId="0" xfId="0" applyAlignment="1">
      <alignment horizontal="left"/>
    </xf>
    <xf numFmtId="0" fontId="16" fillId="2" borderId="0" xfId="0" applyFont="1" applyFill="1" applyBorder="1" applyAlignment="1">
      <alignment horizontal="center" vertical="center"/>
    </xf>
    <xf numFmtId="0" fontId="0" fillId="2" borderId="0" xfId="0" applyFill="1"/>
    <xf numFmtId="0" fontId="18" fillId="2" borderId="0" xfId="0" applyFont="1" applyFill="1" applyBorder="1" applyAlignment="1">
      <alignment horizontal="center" vertical="top"/>
    </xf>
    <xf numFmtId="0" fontId="0" fillId="2" borderId="0" xfId="0" applyFill="1" applyAlignment="1">
      <alignment vertical="center"/>
    </xf>
    <xf numFmtId="0" fontId="11" fillId="2" borderId="0" xfId="0" applyFont="1" applyFill="1" applyBorder="1" applyAlignment="1">
      <alignment vertical="center"/>
    </xf>
    <xf numFmtId="8" fontId="0" fillId="0" borderId="0" xfId="0" applyNumberFormat="1" applyAlignment="1">
      <alignment horizontal="center"/>
    </xf>
    <xf numFmtId="0" fontId="11" fillId="0" borderId="6" xfId="0" applyFont="1" applyBorder="1" applyAlignment="1" applyProtection="1">
      <alignment horizontal="center" vertical="center" wrapText="1"/>
      <protection locked="0"/>
    </xf>
    <xf numFmtId="0" fontId="11" fillId="0" borderId="10" xfId="0" applyFont="1" applyBorder="1" applyAlignment="1" applyProtection="1">
      <alignment horizontal="center" vertical="center" wrapText="1"/>
      <protection locked="0"/>
    </xf>
    <xf numFmtId="0" fontId="0" fillId="0" borderId="1" xfId="0" applyFont="1" applyBorder="1" applyAlignment="1">
      <alignment horizontal="center" vertical="center"/>
    </xf>
    <xf numFmtId="0" fontId="34" fillId="0" borderId="29" xfId="0" applyFont="1" applyBorder="1" applyAlignment="1">
      <alignment horizontal="center" vertical="center" wrapText="1"/>
    </xf>
    <xf numFmtId="0" fontId="34" fillId="0" borderId="30" xfId="0" applyFont="1" applyBorder="1" applyAlignment="1">
      <alignment horizontal="center" vertical="center" wrapText="1"/>
    </xf>
    <xf numFmtId="0" fontId="32" fillId="0" borderId="31" xfId="0" applyFont="1" applyBorder="1" applyAlignment="1">
      <alignment horizontal="center" vertical="center" wrapText="1"/>
    </xf>
    <xf numFmtId="0" fontId="35" fillId="0" borderId="39" xfId="0" applyFont="1" applyBorder="1" applyAlignment="1">
      <alignment horizontal="center" vertical="center"/>
    </xf>
    <xf numFmtId="0" fontId="35" fillId="0" borderId="40" xfId="0" applyFont="1" applyBorder="1" applyAlignment="1">
      <alignment horizontal="center" vertical="center" wrapText="1"/>
    </xf>
    <xf numFmtId="0" fontId="32" fillId="0" borderId="41" xfId="0" applyFont="1" applyBorder="1" applyAlignment="1">
      <alignment horizontal="center" vertical="center" wrapText="1"/>
    </xf>
    <xf numFmtId="164" fontId="14" fillId="0" borderId="0" xfId="0" applyNumberFormat="1" applyFont="1" applyBorder="1" applyAlignment="1" applyProtection="1">
      <alignment horizontal="center" vertical="center"/>
    </xf>
    <xf numFmtId="0" fontId="11" fillId="0" borderId="0" xfId="0" applyFont="1" applyBorder="1" applyAlignment="1">
      <alignment horizontal="center" vertical="center" wrapText="1"/>
    </xf>
    <xf numFmtId="0" fontId="0" fillId="0" borderId="0" xfId="0" applyFill="1" applyAlignment="1">
      <alignment vertical="center"/>
    </xf>
    <xf numFmtId="0" fontId="0" fillId="0" borderId="0" xfId="0" applyFill="1" applyBorder="1" applyAlignment="1">
      <alignment vertical="center"/>
    </xf>
    <xf numFmtId="49" fontId="0" fillId="0" borderId="0" xfId="0" applyNumberFormat="1" applyFill="1" applyAlignment="1">
      <alignment vertical="center"/>
    </xf>
    <xf numFmtId="0" fontId="8" fillId="0" borderId="0" xfId="0" applyFont="1" applyBorder="1" applyAlignment="1">
      <alignment vertical="center"/>
    </xf>
    <xf numFmtId="0" fontId="0" fillId="0" borderId="0" xfId="0" applyAlignment="1">
      <alignment horizontal="center"/>
    </xf>
    <xf numFmtId="1" fontId="11" fillId="0" borderId="3" xfId="0" applyNumberFormat="1" applyFont="1" applyBorder="1" applyAlignment="1">
      <alignment horizontal="center" vertical="center" wrapText="1"/>
    </xf>
    <xf numFmtId="0" fontId="0" fillId="0" borderId="0" xfId="0" applyFont="1" applyBorder="1" applyAlignment="1">
      <alignment horizontal="right" vertical="center" wrapText="1"/>
    </xf>
    <xf numFmtId="2" fontId="0" fillId="0" borderId="0" xfId="0" applyNumberFormat="1" applyBorder="1"/>
    <xf numFmtId="49" fontId="11" fillId="0" borderId="1" xfId="0" applyNumberFormat="1" applyFont="1" applyBorder="1" applyAlignment="1">
      <alignment horizontal="center" vertical="center"/>
    </xf>
    <xf numFmtId="2" fontId="5" fillId="0" borderId="0" xfId="0" applyNumberFormat="1" applyFont="1" applyFill="1" applyBorder="1"/>
    <xf numFmtId="49" fontId="11" fillId="0" borderId="1" xfId="0" applyNumberFormat="1" applyFont="1" applyFill="1" applyBorder="1" applyAlignment="1">
      <alignment horizontal="center" vertical="center"/>
    </xf>
    <xf numFmtId="49" fontId="11" fillId="0" borderId="0" xfId="0" applyNumberFormat="1" applyFont="1" applyBorder="1" applyAlignment="1">
      <alignment horizontal="left"/>
    </xf>
    <xf numFmtId="2" fontId="22" fillId="0" borderId="0" xfId="0" applyNumberFormat="1" applyFont="1" applyBorder="1"/>
    <xf numFmtId="1" fontId="11" fillId="0" borderId="0" xfId="0" applyNumberFormat="1" applyFont="1" applyBorder="1" applyAlignment="1">
      <alignment horizontal="center" vertical="center" wrapText="1"/>
    </xf>
    <xf numFmtId="2" fontId="23" fillId="0" borderId="0" xfId="0" applyNumberFormat="1" applyFont="1" applyBorder="1"/>
    <xf numFmtId="2" fontId="0" fillId="0" borderId="0" xfId="0" applyNumberFormat="1" applyFont="1" applyBorder="1"/>
    <xf numFmtId="2" fontId="5" fillId="0" borderId="0" xfId="0" applyNumberFormat="1" applyFont="1" applyBorder="1"/>
    <xf numFmtId="49" fontId="11" fillId="0" borderId="17" xfId="0" applyNumberFormat="1" applyFont="1" applyBorder="1" applyAlignment="1">
      <alignment horizontal="center" vertical="center"/>
    </xf>
    <xf numFmtId="2" fontId="11" fillId="0" borderId="1" xfId="0" applyNumberFormat="1" applyFont="1" applyBorder="1" applyAlignment="1">
      <alignment horizontal="center" vertical="center"/>
    </xf>
    <xf numFmtId="2" fontId="36" fillId="0" borderId="1" xfId="0" applyNumberFormat="1" applyFont="1" applyBorder="1" applyAlignment="1">
      <alignment horizontal="center" vertical="center"/>
    </xf>
    <xf numFmtId="164" fontId="0" fillId="0" borderId="1" xfId="0" applyNumberFormat="1" applyBorder="1" applyAlignment="1">
      <alignment horizontal="center" vertical="center"/>
    </xf>
    <xf numFmtId="164" fontId="0" fillId="0" borderId="1" xfId="0" applyNumberFormat="1" applyFill="1" applyBorder="1" applyAlignment="1">
      <alignment horizontal="center" vertical="center"/>
    </xf>
    <xf numFmtId="0" fontId="33" fillId="0" borderId="8" xfId="0" applyFont="1" applyBorder="1" applyAlignment="1">
      <alignment horizontal="center"/>
    </xf>
    <xf numFmtId="0" fontId="33" fillId="0" borderId="44" xfId="0" applyFont="1" applyBorder="1" applyAlignment="1">
      <alignment horizontal="center"/>
    </xf>
    <xf numFmtId="0" fontId="33" fillId="0" borderId="11" xfId="0" applyFont="1" applyBorder="1" applyAlignment="1">
      <alignment horizontal="center"/>
    </xf>
    <xf numFmtId="0" fontId="11" fillId="0" borderId="0" xfId="0" applyFont="1" applyAlignment="1">
      <alignment vertical="center"/>
    </xf>
    <xf numFmtId="0" fontId="0" fillId="0" borderId="0" xfId="0" applyAlignment="1">
      <alignment horizontal="center" vertical="center"/>
    </xf>
    <xf numFmtId="164" fontId="0" fillId="0" borderId="1" xfId="0" applyNumberFormat="1" applyFont="1" applyBorder="1" applyAlignment="1">
      <alignment horizontal="center" vertical="center"/>
    </xf>
    <xf numFmtId="164" fontId="23" fillId="0" borderId="1" xfId="0" applyNumberFormat="1" applyFont="1" applyBorder="1" applyAlignment="1">
      <alignment horizontal="center" vertical="center"/>
    </xf>
    <xf numFmtId="0" fontId="11" fillId="0" borderId="0" xfId="0" applyFont="1" applyFill="1" applyBorder="1" applyAlignment="1">
      <alignment horizontal="center" vertical="center"/>
    </xf>
    <xf numFmtId="0" fontId="5" fillId="0" borderId="0" xfId="0" applyFont="1" applyBorder="1"/>
    <xf numFmtId="0" fontId="0" fillId="0" borderId="0" xfId="0" applyBorder="1" applyAlignment="1">
      <alignment vertical="center"/>
    </xf>
    <xf numFmtId="0" fontId="0" fillId="0" borderId="0" xfId="0" applyBorder="1" applyAlignment="1">
      <alignment horizontal="center" vertical="center"/>
    </xf>
    <xf numFmtId="0" fontId="0" fillId="0" borderId="0" xfId="0" applyFill="1" applyBorder="1" applyAlignment="1">
      <alignment horizontal="center" vertical="center"/>
    </xf>
    <xf numFmtId="2" fontId="22" fillId="0" borderId="8" xfId="0" applyNumberFormat="1" applyFont="1" applyBorder="1" applyAlignment="1">
      <alignment horizontal="center" vertical="center"/>
    </xf>
    <xf numFmtId="0" fontId="0" fillId="0" borderId="1" xfId="0" applyFill="1" applyBorder="1" applyAlignment="1">
      <alignment horizontal="center" vertical="center"/>
    </xf>
    <xf numFmtId="0" fontId="22" fillId="0" borderId="0" xfId="0" applyFont="1" applyAlignment="1">
      <alignment vertical="center"/>
    </xf>
    <xf numFmtId="0" fontId="0" fillId="0" borderId="0" xfId="0" applyFont="1" applyBorder="1" applyAlignment="1">
      <alignment vertical="center"/>
    </xf>
    <xf numFmtId="49" fontId="11" fillId="0" borderId="0" xfId="0" applyNumberFormat="1" applyFont="1" applyBorder="1" applyAlignment="1">
      <alignment horizontal="left" vertical="center"/>
    </xf>
    <xf numFmtId="0" fontId="0" fillId="0" borderId="0" xfId="0" applyFont="1" applyAlignment="1">
      <alignment horizontal="left" vertical="center" readingOrder="1"/>
    </xf>
    <xf numFmtId="2" fontId="37" fillId="0" borderId="1" xfId="0" applyNumberFormat="1" applyFont="1" applyBorder="1" applyAlignment="1">
      <alignment horizontal="center" vertical="center"/>
    </xf>
    <xf numFmtId="0" fontId="8" fillId="0" borderId="0" xfId="0" applyFont="1" applyBorder="1" applyAlignment="1">
      <alignment horizontal="center"/>
    </xf>
    <xf numFmtId="0" fontId="7" fillId="0" borderId="0" xfId="0" applyFont="1" applyBorder="1" applyAlignment="1">
      <alignment horizontal="center" vertical="center"/>
    </xf>
    <xf numFmtId="0" fontId="11" fillId="0" borderId="8" xfId="0" applyFont="1" applyBorder="1" applyAlignment="1">
      <alignment horizontal="center" vertical="center"/>
    </xf>
    <xf numFmtId="0" fontId="11" fillId="0" borderId="17" xfId="0" applyFont="1" applyBorder="1" applyAlignment="1">
      <alignment horizontal="center" vertical="center"/>
    </xf>
    <xf numFmtId="0" fontId="11" fillId="0" borderId="8" xfId="0" applyFont="1" applyBorder="1" applyAlignment="1">
      <alignment horizontal="center" vertical="center"/>
    </xf>
    <xf numFmtId="0" fontId="11" fillId="0" borderId="11" xfId="0" applyFont="1" applyBorder="1" applyAlignment="1">
      <alignment horizontal="center" vertical="center"/>
    </xf>
    <xf numFmtId="0" fontId="11" fillId="0" borderId="3" xfId="0" applyFont="1" applyBorder="1" applyAlignment="1">
      <alignment horizontal="center" vertical="center" wrapText="1"/>
    </xf>
    <xf numFmtId="0" fontId="8" fillId="0" borderId="0" xfId="0" applyFont="1" applyBorder="1" applyAlignment="1">
      <alignment horizontal="center"/>
    </xf>
    <xf numFmtId="0" fontId="17" fillId="0" borderId="0" xfId="0" applyFont="1" applyFill="1" applyBorder="1" applyAlignment="1">
      <alignment horizontal="center" vertical="center" wrapText="1"/>
    </xf>
    <xf numFmtId="0" fontId="11" fillId="0" borderId="50" xfId="0" applyFont="1" applyBorder="1" applyAlignment="1">
      <alignment horizontal="center" vertical="center" wrapText="1"/>
    </xf>
    <xf numFmtId="0" fontId="11" fillId="0" borderId="50" xfId="0" applyFont="1" applyFill="1" applyBorder="1" applyAlignment="1">
      <alignment horizontal="center" vertical="center"/>
    </xf>
    <xf numFmtId="0" fontId="11" fillId="0" borderId="50" xfId="0" applyFont="1" applyBorder="1" applyAlignment="1">
      <alignment horizontal="center" vertical="center"/>
    </xf>
    <xf numFmtId="0" fontId="11" fillId="0" borderId="52" xfId="0" applyFont="1" applyBorder="1" applyAlignment="1">
      <alignment horizontal="center" vertical="center"/>
    </xf>
    <xf numFmtId="0" fontId="11" fillId="0" borderId="53" xfId="0" applyFont="1" applyBorder="1" applyAlignment="1">
      <alignment horizontal="center" vertical="center" wrapText="1"/>
    </xf>
    <xf numFmtId="0" fontId="13" fillId="0" borderId="54" xfId="0" applyFont="1" applyBorder="1" applyAlignment="1" applyProtection="1">
      <alignment horizontal="left" vertical="center"/>
      <protection locked="0"/>
    </xf>
    <xf numFmtId="0" fontId="13" fillId="0" borderId="66" xfId="0" applyFont="1" applyBorder="1" applyAlignment="1">
      <alignment vertical="center"/>
    </xf>
    <xf numFmtId="0" fontId="13" fillId="0" borderId="66" xfId="0" applyFont="1" applyFill="1" applyBorder="1" applyAlignment="1">
      <alignment horizontal="center" vertical="center"/>
    </xf>
    <xf numFmtId="0" fontId="13" fillId="0" borderId="66" xfId="0" applyFont="1" applyFill="1" applyBorder="1" applyAlignment="1">
      <alignment vertical="center"/>
    </xf>
    <xf numFmtId="0" fontId="13" fillId="0" borderId="66" xfId="0" applyFont="1" applyFill="1" applyBorder="1" applyAlignment="1" applyProtection="1">
      <alignment vertical="center"/>
      <protection locked="0"/>
    </xf>
    <xf numFmtId="0" fontId="13" fillId="0" borderId="68" xfId="0" applyFont="1" applyFill="1" applyBorder="1" applyAlignment="1">
      <alignment vertical="center"/>
    </xf>
    <xf numFmtId="0" fontId="13" fillId="0" borderId="69" xfId="0" applyFont="1" applyBorder="1" applyProtection="1">
      <protection locked="0"/>
    </xf>
    <xf numFmtId="0" fontId="13" fillId="0" borderId="66" xfId="0" applyFont="1" applyBorder="1" applyProtection="1">
      <protection locked="0"/>
    </xf>
    <xf numFmtId="0" fontId="13" fillId="0" borderId="65" xfId="0" applyFont="1" applyBorder="1" applyAlignment="1">
      <alignment vertical="center"/>
    </xf>
    <xf numFmtId="1" fontId="14" fillId="0" borderId="73" xfId="0" applyNumberFormat="1" applyFont="1" applyBorder="1" applyAlignment="1" applyProtection="1">
      <alignment horizontal="center" vertical="center"/>
    </xf>
    <xf numFmtId="165" fontId="11" fillId="0" borderId="0" xfId="0" applyNumberFormat="1" applyFont="1" applyBorder="1" applyAlignment="1">
      <alignment horizontal="center" vertical="center" wrapText="1"/>
    </xf>
    <xf numFmtId="164" fontId="11" fillId="0" borderId="62" xfId="0" applyNumberFormat="1" applyFont="1" applyBorder="1" applyAlignment="1" applyProtection="1">
      <alignment horizontal="center" vertical="center"/>
      <protection locked="0"/>
    </xf>
    <xf numFmtId="164" fontId="11" fillId="0" borderId="63" xfId="0" applyNumberFormat="1" applyFont="1" applyBorder="1" applyAlignment="1" applyProtection="1">
      <alignment horizontal="center" vertical="center"/>
      <protection locked="0"/>
    </xf>
    <xf numFmtId="0" fontId="16" fillId="0" borderId="64" xfId="0" applyFont="1" applyFill="1" applyBorder="1" applyAlignment="1">
      <alignment horizontal="center" vertical="center" wrapText="1"/>
    </xf>
    <xf numFmtId="164" fontId="11" fillId="0" borderId="65" xfId="0" applyNumberFormat="1" applyFont="1" applyBorder="1" applyAlignment="1" applyProtection="1">
      <alignment horizontal="center" vertical="center"/>
      <protection locked="0"/>
    </xf>
    <xf numFmtId="0" fontId="16" fillId="0" borderId="45" xfId="0" applyFont="1" applyFill="1" applyBorder="1" applyAlignment="1">
      <alignment horizontal="center" vertical="center" wrapText="1"/>
    </xf>
    <xf numFmtId="0" fontId="7" fillId="0" borderId="65" xfId="0" applyFont="1" applyBorder="1" applyAlignment="1" applyProtection="1">
      <alignment vertical="center"/>
      <protection locked="0"/>
    </xf>
    <xf numFmtId="0" fontId="11" fillId="0" borderId="66" xfId="0" applyFont="1" applyBorder="1" applyAlignment="1">
      <alignment horizontal="left" vertical="center" wrapText="1"/>
    </xf>
    <xf numFmtId="0" fontId="11" fillId="0" borderId="66" xfId="0" applyFont="1" applyBorder="1" applyAlignment="1">
      <alignment vertical="center"/>
    </xf>
    <xf numFmtId="0" fontId="11" fillId="0" borderId="72" xfId="0" applyFont="1" applyBorder="1" applyAlignment="1">
      <alignment vertical="center"/>
    </xf>
    <xf numFmtId="0" fontId="11" fillId="0" borderId="52" xfId="0" applyFont="1" applyBorder="1" applyAlignment="1" applyProtection="1">
      <alignment horizontal="center" vertical="center" wrapText="1"/>
      <protection locked="0"/>
    </xf>
    <xf numFmtId="0" fontId="11" fillId="0" borderId="58" xfId="0" applyFont="1" applyBorder="1" applyAlignment="1" applyProtection="1">
      <alignment horizontal="center" vertical="center" wrapText="1"/>
      <protection locked="0"/>
    </xf>
    <xf numFmtId="0" fontId="11" fillId="0" borderId="50" xfId="0" applyFont="1" applyBorder="1" applyAlignment="1" applyProtection="1">
      <alignment horizontal="center" vertical="center" wrapText="1"/>
      <protection locked="0"/>
    </xf>
    <xf numFmtId="0" fontId="11" fillId="0" borderId="53" xfId="0" applyFont="1" applyBorder="1" applyAlignment="1" applyProtection="1">
      <alignment horizontal="center" vertical="center" wrapText="1"/>
      <protection locked="0"/>
    </xf>
    <xf numFmtId="0" fontId="16" fillId="0" borderId="2" xfId="0" applyFont="1" applyBorder="1" applyAlignment="1">
      <alignment horizontal="center" vertical="center"/>
    </xf>
    <xf numFmtId="0" fontId="16" fillId="0" borderId="0" xfId="0" applyFont="1" applyBorder="1" applyAlignment="1">
      <alignment horizontal="center" vertical="center"/>
    </xf>
    <xf numFmtId="164" fontId="14" fillId="0" borderId="92" xfId="0" applyNumberFormat="1" applyFont="1" applyFill="1" applyBorder="1" applyAlignment="1" applyProtection="1">
      <alignment horizontal="center" vertical="center"/>
    </xf>
    <xf numFmtId="2" fontId="11" fillId="0" borderId="0" xfId="0" applyNumberFormat="1" applyFont="1" applyBorder="1" applyAlignment="1">
      <alignment horizontal="center" vertical="center"/>
    </xf>
    <xf numFmtId="1" fontId="16" fillId="0" borderId="0" xfId="0" applyNumberFormat="1" applyFont="1" applyBorder="1" applyAlignment="1">
      <alignment horizontal="center" vertical="center"/>
    </xf>
    <xf numFmtId="1" fontId="16" fillId="0" borderId="93" xfId="0" applyNumberFormat="1" applyFont="1" applyBorder="1" applyAlignment="1" applyProtection="1">
      <alignment horizontal="center" vertical="center"/>
    </xf>
    <xf numFmtId="0" fontId="11" fillId="0" borderId="80" xfId="0" applyFont="1" applyBorder="1" applyAlignment="1">
      <alignment vertical="center"/>
    </xf>
    <xf numFmtId="0" fontId="11" fillId="0" borderId="53" xfId="0" applyFont="1" applyBorder="1" applyAlignment="1">
      <alignment horizontal="center" vertical="center"/>
    </xf>
    <xf numFmtId="0" fontId="8" fillId="0" borderId="0" xfId="0" applyFont="1" applyBorder="1" applyAlignment="1">
      <alignment horizontal="center"/>
    </xf>
    <xf numFmtId="0" fontId="7" fillId="0" borderId="0" xfId="0" applyFont="1" applyFill="1" applyBorder="1" applyAlignment="1">
      <alignment horizontal="center" vertical="center"/>
    </xf>
    <xf numFmtId="0" fontId="11" fillId="0" borderId="11" xfId="0" applyFont="1" applyFill="1" applyBorder="1" applyAlignment="1">
      <alignment horizontal="center" vertical="center"/>
    </xf>
    <xf numFmtId="164" fontId="14" fillId="0" borderId="11" xfId="0" applyNumberFormat="1" applyFont="1" applyFill="1" applyBorder="1" applyAlignment="1" applyProtection="1">
      <alignment horizontal="center" vertical="center"/>
    </xf>
    <xf numFmtId="0" fontId="16" fillId="0" borderId="15" xfId="0" applyFont="1" applyBorder="1" applyAlignment="1">
      <alignment horizontal="center" vertical="center"/>
    </xf>
    <xf numFmtId="0" fontId="32" fillId="0" borderId="0" xfId="0" applyFont="1" applyBorder="1" applyAlignment="1">
      <alignment horizontal="center" vertical="center" wrapText="1"/>
    </xf>
    <xf numFmtId="164" fontId="32" fillId="0" borderId="0" xfId="0" applyNumberFormat="1" applyFont="1" applyBorder="1" applyAlignment="1" applyProtection="1">
      <alignment horizontal="center" vertical="center"/>
    </xf>
    <xf numFmtId="0" fontId="16" fillId="0" borderId="0" xfId="0" applyFont="1" applyFill="1" applyBorder="1" applyAlignment="1">
      <alignment horizontal="center" vertical="center" wrapText="1"/>
    </xf>
    <xf numFmtId="1" fontId="14" fillId="0" borderId="0" xfId="0" applyNumberFormat="1" applyFont="1" applyBorder="1" applyAlignment="1" applyProtection="1">
      <alignment horizontal="center" vertical="center"/>
    </xf>
    <xf numFmtId="0" fontId="16" fillId="0" borderId="0" xfId="0" applyFont="1" applyBorder="1" applyAlignment="1">
      <alignment horizontal="center" vertical="center" wrapText="1"/>
    </xf>
    <xf numFmtId="1" fontId="16" fillId="0" borderId="0" xfId="0" applyNumberFormat="1" applyFont="1" applyBorder="1" applyAlignment="1" applyProtection="1">
      <alignment horizontal="center" vertical="center"/>
    </xf>
    <xf numFmtId="1" fontId="16" fillId="0" borderId="68" xfId="0" applyNumberFormat="1" applyFont="1" applyBorder="1" applyAlignment="1" applyProtection="1">
      <alignment horizontal="center" vertical="center"/>
    </xf>
    <xf numFmtId="0" fontId="11" fillId="0" borderId="51" xfId="0" applyFont="1" applyFill="1" applyBorder="1" applyAlignment="1">
      <alignment horizontal="center" vertical="center" wrapText="1"/>
    </xf>
    <xf numFmtId="0" fontId="8" fillId="0" borderId="0" xfId="0" applyFont="1" applyBorder="1" applyAlignment="1">
      <alignment vertical="top"/>
    </xf>
    <xf numFmtId="164" fontId="14" fillId="0" borderId="104" xfId="0" applyNumberFormat="1" applyFont="1" applyFill="1" applyBorder="1" applyAlignment="1" applyProtection="1">
      <alignment horizontal="center" vertical="center"/>
    </xf>
    <xf numFmtId="164" fontId="14" fillId="0" borderId="15" xfId="0" applyNumberFormat="1" applyFont="1" applyFill="1" applyBorder="1" applyAlignment="1" applyProtection="1">
      <alignment horizontal="center" vertical="center"/>
    </xf>
    <xf numFmtId="2" fontId="39" fillId="0" borderId="1" xfId="0" applyNumberFormat="1" applyFont="1" applyBorder="1" applyAlignment="1">
      <alignment horizontal="center" vertical="center"/>
    </xf>
    <xf numFmtId="0" fontId="0" fillId="0" borderId="1" xfId="0" applyBorder="1" applyProtection="1"/>
    <xf numFmtId="0" fontId="13" fillId="0" borderId="69" xfId="0" applyFont="1" applyBorder="1" applyAlignment="1">
      <alignment vertical="center"/>
    </xf>
    <xf numFmtId="0" fontId="13" fillId="0" borderId="78" xfId="0" applyFont="1" applyBorder="1" applyAlignment="1">
      <alignment vertical="center"/>
    </xf>
    <xf numFmtId="166" fontId="20" fillId="0" borderId="78" xfId="0" applyNumberFormat="1" applyFont="1" applyBorder="1" applyAlignment="1" applyProtection="1">
      <alignment horizontal="center" vertical="center"/>
    </xf>
    <xf numFmtId="0" fontId="11" fillId="0" borderId="53" xfId="0" applyFont="1" applyFill="1" applyBorder="1" applyAlignment="1">
      <alignment horizontal="center" vertical="center" wrapText="1"/>
    </xf>
    <xf numFmtId="0" fontId="8" fillId="0" borderId="0" xfId="0" applyFont="1" applyFill="1" applyBorder="1" applyAlignment="1">
      <alignment horizontal="center" vertical="center"/>
    </xf>
    <xf numFmtId="0" fontId="11" fillId="0" borderId="110" xfId="0" applyFont="1" applyBorder="1" applyAlignment="1">
      <alignment horizontal="center" vertical="center" wrapText="1"/>
    </xf>
    <xf numFmtId="0" fontId="18" fillId="0" borderId="0" xfId="0" applyFont="1" applyFill="1" applyBorder="1" applyAlignment="1">
      <alignment horizontal="center" vertical="center"/>
    </xf>
    <xf numFmtId="164" fontId="14" fillId="0" borderId="116" xfId="0" applyNumberFormat="1" applyFont="1" applyFill="1" applyBorder="1" applyAlignment="1" applyProtection="1">
      <alignment horizontal="center" vertical="center"/>
    </xf>
    <xf numFmtId="0" fontId="11" fillId="0" borderId="117" xfId="0" applyFont="1" applyFill="1" applyBorder="1" applyAlignment="1">
      <alignment horizontal="center" vertical="center"/>
    </xf>
    <xf numFmtId="1" fontId="38" fillId="0" borderId="0" xfId="0" applyNumberFormat="1" applyFont="1" applyBorder="1" applyAlignment="1">
      <alignment horizontal="center" vertical="center"/>
    </xf>
    <xf numFmtId="0" fontId="11" fillId="0" borderId="119" xfId="0" applyFont="1" applyBorder="1" applyAlignment="1">
      <alignment horizontal="center" vertical="center"/>
    </xf>
    <xf numFmtId="1" fontId="16" fillId="0" borderId="92" xfId="0" applyNumberFormat="1" applyFont="1" applyBorder="1" applyAlignment="1" applyProtection="1">
      <alignment horizontal="center" vertical="center"/>
    </xf>
    <xf numFmtId="0" fontId="16" fillId="0" borderId="0" xfId="0" applyFont="1" applyBorder="1" applyAlignment="1">
      <alignment horizontal="right" vertical="center" wrapText="1"/>
    </xf>
    <xf numFmtId="0" fontId="16" fillId="0" borderId="101" xfId="0" applyFont="1" applyBorder="1" applyAlignment="1">
      <alignment horizontal="center" vertical="center"/>
    </xf>
    <xf numFmtId="0" fontId="40" fillId="0" borderId="0" xfId="0" applyFont="1" applyBorder="1"/>
    <xf numFmtId="0" fontId="0" fillId="0" borderId="0" xfId="0" applyAlignment="1">
      <alignment vertical="top"/>
    </xf>
    <xf numFmtId="2" fontId="20" fillId="4" borderId="78" xfId="0" applyNumberFormat="1" applyFont="1" applyFill="1" applyBorder="1" applyAlignment="1" applyProtection="1">
      <alignment horizontal="center" vertical="center"/>
    </xf>
    <xf numFmtId="2" fontId="20" fillId="4" borderId="6" xfId="0" applyNumberFormat="1" applyFont="1" applyFill="1" applyBorder="1" applyAlignment="1" applyProtection="1">
      <alignment horizontal="center" vertical="center"/>
      <protection locked="0"/>
    </xf>
    <xf numFmtId="2" fontId="20" fillId="4" borderId="1" xfId="0" applyNumberFormat="1" applyFont="1" applyFill="1" applyBorder="1" applyAlignment="1" applyProtection="1">
      <alignment horizontal="center" vertical="center"/>
      <protection locked="0"/>
    </xf>
    <xf numFmtId="2" fontId="20" fillId="4" borderId="7" xfId="0" applyNumberFormat="1" applyFont="1" applyFill="1" applyBorder="1" applyAlignment="1" applyProtection="1">
      <alignment horizontal="center" vertical="center"/>
      <protection locked="0"/>
    </xf>
    <xf numFmtId="2" fontId="20" fillId="4" borderId="10" xfId="0" applyNumberFormat="1" applyFont="1" applyFill="1" applyBorder="1" applyAlignment="1" applyProtection="1">
      <alignment horizontal="center" vertical="center"/>
      <protection locked="0"/>
    </xf>
    <xf numFmtId="165" fontId="20" fillId="4" borderId="8" xfId="0" applyNumberFormat="1" applyFont="1" applyFill="1" applyBorder="1" applyAlignment="1" applyProtection="1">
      <alignment horizontal="center" vertical="center"/>
      <protection locked="0"/>
    </xf>
    <xf numFmtId="2" fontId="20" fillId="4" borderId="8" xfId="0" applyNumberFormat="1" applyFont="1" applyFill="1" applyBorder="1" applyAlignment="1" applyProtection="1">
      <alignment horizontal="center" vertical="center"/>
      <protection locked="0"/>
    </xf>
    <xf numFmtId="2" fontId="20" fillId="4" borderId="5" xfId="0" applyNumberFormat="1" applyFont="1" applyFill="1" applyBorder="1" applyAlignment="1" applyProtection="1">
      <alignment horizontal="center" vertical="center"/>
      <protection locked="0"/>
    </xf>
    <xf numFmtId="2" fontId="20" fillId="4" borderId="4" xfId="0" applyNumberFormat="1" applyFont="1" applyFill="1" applyBorder="1" applyAlignment="1" applyProtection="1">
      <alignment horizontal="center" vertical="center"/>
      <protection locked="0"/>
    </xf>
    <xf numFmtId="166" fontId="20" fillId="4" borderId="10" xfId="0" applyNumberFormat="1" applyFont="1" applyFill="1" applyBorder="1" applyAlignment="1" applyProtection="1">
      <alignment horizontal="center" vertical="center"/>
      <protection locked="0"/>
    </xf>
    <xf numFmtId="166" fontId="20" fillId="4" borderId="6" xfId="0" applyNumberFormat="1" applyFont="1" applyFill="1" applyBorder="1" applyAlignment="1" applyProtection="1">
      <alignment horizontal="center" vertical="center"/>
      <protection locked="0"/>
    </xf>
    <xf numFmtId="1" fontId="9" fillId="4" borderId="111" xfId="0" applyNumberFormat="1" applyFont="1" applyFill="1" applyBorder="1" applyAlignment="1" applyProtection="1">
      <alignment horizontal="center" vertical="center" wrapText="1"/>
      <protection locked="0"/>
    </xf>
    <xf numFmtId="1" fontId="9" fillId="4" borderId="91" xfId="0" applyNumberFormat="1" applyFont="1" applyFill="1" applyBorder="1" applyAlignment="1" applyProtection="1">
      <alignment horizontal="center" vertical="center"/>
      <protection locked="0"/>
    </xf>
    <xf numFmtId="1" fontId="9" fillId="4" borderId="2" xfId="0" applyNumberFormat="1" applyFont="1" applyFill="1" applyBorder="1" applyAlignment="1" applyProtection="1">
      <alignment horizontal="center" vertical="center"/>
      <protection locked="0"/>
    </xf>
    <xf numFmtId="1" fontId="9" fillId="4" borderId="92" xfId="0" applyNumberFormat="1"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42" fillId="4" borderId="25" xfId="0" applyFont="1" applyFill="1" applyBorder="1" applyAlignment="1" applyProtection="1">
      <alignment horizontal="center" vertical="center"/>
      <protection locked="0"/>
    </xf>
    <xf numFmtId="1" fontId="14" fillId="0" borderId="55" xfId="0" applyNumberFormat="1" applyFont="1" applyBorder="1" applyAlignment="1" applyProtection="1">
      <alignment horizontal="center" vertical="center"/>
    </xf>
    <xf numFmtId="1" fontId="8" fillId="4" borderId="108" xfId="0" applyNumberFormat="1" applyFont="1" applyFill="1" applyBorder="1" applyAlignment="1" applyProtection="1">
      <alignment horizontal="center" vertical="center"/>
      <protection locked="0"/>
    </xf>
    <xf numFmtId="164" fontId="8" fillId="4" borderId="109" xfId="0" applyNumberFormat="1"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164" fontId="14" fillId="0" borderId="107" xfId="0" applyNumberFormat="1" applyFont="1" applyBorder="1" applyAlignment="1" applyProtection="1">
      <alignment horizontal="center" vertical="center"/>
    </xf>
    <xf numFmtId="1" fontId="14" fillId="0" borderId="107" xfId="0" applyNumberFormat="1" applyFont="1" applyBorder="1" applyAlignment="1" applyProtection="1">
      <alignment horizontal="center" vertical="center"/>
    </xf>
    <xf numFmtId="0" fontId="9" fillId="3" borderId="128" xfId="0" applyFont="1" applyFill="1" applyBorder="1" applyAlignment="1" applyProtection="1">
      <alignment horizontal="center" vertical="center"/>
      <protection locked="0"/>
    </xf>
    <xf numFmtId="0" fontId="9" fillId="3" borderId="132" xfId="0" applyFont="1" applyFill="1" applyBorder="1" applyAlignment="1" applyProtection="1">
      <alignment horizontal="center" vertical="center"/>
      <protection locked="0"/>
    </xf>
    <xf numFmtId="1" fontId="14" fillId="0" borderId="131" xfId="0" applyNumberFormat="1" applyFont="1" applyBorder="1" applyAlignment="1" applyProtection="1">
      <alignment horizontal="center" vertical="center"/>
    </xf>
    <xf numFmtId="2" fontId="14" fillId="0" borderId="1" xfId="0" applyNumberFormat="1" applyFont="1" applyBorder="1" applyAlignment="1" applyProtection="1">
      <alignment horizontal="center" vertical="center" wrapText="1"/>
    </xf>
    <xf numFmtId="0" fontId="14" fillId="0" borderId="8" xfId="0" applyFont="1" applyBorder="1" applyAlignment="1" applyProtection="1">
      <alignment horizontal="center" vertical="center" wrapText="1"/>
    </xf>
    <xf numFmtId="1" fontId="14" fillId="0" borderId="77" xfId="0" applyNumberFormat="1" applyFont="1" applyBorder="1" applyAlignment="1" applyProtection="1">
      <alignment horizontal="center" vertical="center"/>
    </xf>
    <xf numFmtId="2" fontId="14" fillId="0" borderId="1" xfId="0" applyNumberFormat="1" applyFont="1" applyBorder="1" applyAlignment="1" applyProtection="1">
      <alignment horizontal="center" vertical="center"/>
    </xf>
    <xf numFmtId="1" fontId="14" fillId="0" borderId="8" xfId="0" applyNumberFormat="1" applyFont="1" applyBorder="1" applyAlignment="1" applyProtection="1">
      <alignment horizontal="center" vertical="center"/>
    </xf>
    <xf numFmtId="2" fontId="8" fillId="4" borderId="1" xfId="0" applyNumberFormat="1" applyFont="1" applyFill="1" applyBorder="1" applyAlignment="1" applyProtection="1">
      <alignment horizontal="center" vertical="center"/>
      <protection locked="0"/>
    </xf>
    <xf numFmtId="2" fontId="8" fillId="4" borderId="78" xfId="0" applyNumberFormat="1" applyFont="1" applyFill="1" applyBorder="1" applyAlignment="1" applyProtection="1">
      <alignment horizontal="center" vertical="center"/>
      <protection locked="0"/>
    </xf>
    <xf numFmtId="1" fontId="14" fillId="0" borderId="99" xfId="0" applyNumberFormat="1" applyFont="1" applyBorder="1" applyAlignment="1" applyProtection="1">
      <alignment horizontal="center" vertical="center"/>
    </xf>
    <xf numFmtId="1" fontId="14" fillId="0" borderId="79" xfId="0" applyNumberFormat="1" applyFont="1" applyBorder="1" applyAlignment="1" applyProtection="1">
      <alignment horizontal="center" vertical="center"/>
    </xf>
    <xf numFmtId="1" fontId="14" fillId="0" borderId="49" xfId="0" applyNumberFormat="1" applyFont="1" applyBorder="1" applyAlignment="1" applyProtection="1">
      <alignment horizontal="center" vertical="center"/>
    </xf>
    <xf numFmtId="1" fontId="14" fillId="0" borderId="94" xfId="0" applyNumberFormat="1" applyFont="1" applyBorder="1" applyAlignment="1" applyProtection="1">
      <alignment horizontal="center" vertical="center"/>
    </xf>
    <xf numFmtId="164" fontId="14" fillId="0" borderId="71" xfId="0" applyNumberFormat="1" applyFont="1" applyBorder="1" applyAlignment="1" applyProtection="1">
      <alignment horizontal="center" vertical="center"/>
    </xf>
    <xf numFmtId="164" fontId="14" fillId="0" borderId="67" xfId="0" applyNumberFormat="1" applyFont="1" applyBorder="1" applyAlignment="1" applyProtection="1">
      <alignment horizontal="center" vertical="center"/>
    </xf>
    <xf numFmtId="164" fontId="14" fillId="0" borderId="70" xfId="0" applyNumberFormat="1" applyFont="1" applyBorder="1" applyAlignment="1" applyProtection="1">
      <alignment horizontal="center" vertical="center"/>
    </xf>
    <xf numFmtId="164" fontId="14" fillId="0" borderId="58" xfId="0" applyNumberFormat="1" applyFont="1" applyBorder="1" applyAlignment="1" applyProtection="1">
      <alignment horizontal="center" vertical="center"/>
    </xf>
    <xf numFmtId="164" fontId="14" fillId="0" borderId="106" xfId="0" applyNumberFormat="1" applyFont="1" applyBorder="1" applyAlignment="1" applyProtection="1">
      <alignment horizontal="center" vertical="center"/>
    </xf>
    <xf numFmtId="164" fontId="9" fillId="4" borderId="66" xfId="0" applyNumberFormat="1" applyFont="1" applyFill="1" applyBorder="1" applyAlignment="1" applyProtection="1">
      <alignment horizontal="center"/>
      <protection locked="0"/>
    </xf>
    <xf numFmtId="164" fontId="9" fillId="4" borderId="1" xfId="0" applyNumberFormat="1" applyFont="1" applyFill="1" applyBorder="1" applyAlignment="1" applyProtection="1">
      <alignment horizontal="center"/>
      <protection locked="0"/>
    </xf>
    <xf numFmtId="2" fontId="9" fillId="4" borderId="1" xfId="0" applyNumberFormat="1" applyFont="1" applyFill="1" applyBorder="1" applyAlignment="1" applyProtection="1">
      <alignment horizontal="center"/>
      <protection locked="0"/>
    </xf>
    <xf numFmtId="1" fontId="9" fillId="4" borderId="58" xfId="0" applyNumberFormat="1" applyFont="1" applyFill="1" applyBorder="1" applyAlignment="1" applyProtection="1">
      <alignment horizontal="center"/>
      <protection locked="0"/>
    </xf>
    <xf numFmtId="164" fontId="9" fillId="4" borderId="95" xfId="0" applyNumberFormat="1" applyFont="1" applyFill="1" applyBorder="1" applyAlignment="1" applyProtection="1">
      <alignment horizontal="center"/>
      <protection locked="0"/>
    </xf>
    <xf numFmtId="164" fontId="9" fillId="4" borderId="43" xfId="0" applyNumberFormat="1" applyFont="1" applyFill="1" applyBorder="1" applyAlignment="1" applyProtection="1">
      <alignment horizontal="center"/>
      <protection locked="0"/>
    </xf>
    <xf numFmtId="164" fontId="9" fillId="4" borderId="43" xfId="3" applyNumberFormat="1" applyFont="1" applyFill="1" applyBorder="1" applyAlignment="1" applyProtection="1">
      <alignment horizontal="center"/>
      <protection locked="0"/>
    </xf>
    <xf numFmtId="2" fontId="9" fillId="4" borderId="43" xfId="0" applyNumberFormat="1" applyFont="1" applyFill="1" applyBorder="1" applyAlignment="1" applyProtection="1">
      <alignment horizontal="center"/>
      <protection locked="0"/>
    </xf>
    <xf numFmtId="1" fontId="9" fillId="4" borderId="59" xfId="0" applyNumberFormat="1" applyFont="1" applyFill="1" applyBorder="1" applyAlignment="1" applyProtection="1">
      <alignment horizontal="center"/>
      <protection locked="0"/>
    </xf>
    <xf numFmtId="164" fontId="41" fillId="0" borderId="54" xfId="0" applyNumberFormat="1" applyFont="1" applyBorder="1" applyAlignment="1" applyProtection="1">
      <alignment horizontal="center" vertical="center"/>
    </xf>
    <xf numFmtId="164" fontId="41" fillId="0" borderId="24" xfId="0" applyNumberFormat="1" applyFont="1" applyBorder="1" applyAlignment="1" applyProtection="1">
      <alignment horizontal="center" vertical="center"/>
    </xf>
    <xf numFmtId="2" fontId="41" fillId="0" borderId="24" xfId="0" applyNumberFormat="1" applyFont="1" applyBorder="1" applyAlignment="1" applyProtection="1">
      <alignment horizontal="center" vertical="center"/>
    </xf>
    <xf numFmtId="164" fontId="41" fillId="0" borderId="61" xfId="0" applyNumberFormat="1" applyFont="1" applyBorder="1" applyAlignment="1" applyProtection="1">
      <alignment horizontal="center" vertical="center"/>
    </xf>
    <xf numFmtId="1" fontId="8" fillId="4" borderId="32" xfId="0" applyNumberFormat="1" applyFont="1" applyFill="1" applyBorder="1" applyAlignment="1" applyProtection="1">
      <alignment horizontal="center" vertical="center"/>
      <protection locked="0"/>
    </xf>
    <xf numFmtId="0" fontId="8" fillId="4" borderId="33" xfId="0" applyFont="1" applyFill="1" applyBorder="1" applyAlignment="1" applyProtection="1">
      <alignment horizontal="center" vertical="center"/>
      <protection locked="0"/>
    </xf>
    <xf numFmtId="164" fontId="41" fillId="0" borderId="34" xfId="0" applyNumberFormat="1" applyFont="1" applyBorder="1" applyAlignment="1" applyProtection="1">
      <alignment horizontal="center" vertical="center"/>
    </xf>
    <xf numFmtId="1" fontId="43" fillId="0" borderId="96" xfId="0" applyNumberFormat="1" applyFont="1" applyBorder="1" applyAlignment="1">
      <alignment horizontal="center" vertical="center"/>
    </xf>
    <xf numFmtId="0" fontId="43" fillId="0" borderId="35" xfId="0" applyFont="1" applyBorder="1" applyAlignment="1">
      <alignment horizontal="center" vertical="center"/>
    </xf>
    <xf numFmtId="0" fontId="43" fillId="0" borderId="0" xfId="0" applyFont="1" applyBorder="1" applyAlignment="1">
      <alignment horizontal="center" vertical="center"/>
    </xf>
    <xf numFmtId="164" fontId="41" fillId="0" borderId="97" xfId="0" applyNumberFormat="1" applyFont="1" applyBorder="1" applyAlignment="1" applyProtection="1">
      <alignment horizontal="center" vertical="center"/>
    </xf>
    <xf numFmtId="1" fontId="8" fillId="4" borderId="36" xfId="0" applyNumberFormat="1" applyFont="1" applyFill="1" applyBorder="1" applyAlignment="1" applyProtection="1">
      <alignment horizontal="center" vertical="center"/>
      <protection locked="0"/>
    </xf>
    <xf numFmtId="1" fontId="8" fillId="4" borderId="37" xfId="0" applyNumberFormat="1" applyFont="1" applyFill="1" applyBorder="1" applyAlignment="1" applyProtection="1">
      <alignment horizontal="center" vertical="center"/>
      <protection locked="0"/>
    </xf>
    <xf numFmtId="164" fontId="41" fillId="0" borderId="38" xfId="0" applyNumberFormat="1" applyFont="1" applyBorder="1" applyAlignment="1" applyProtection="1">
      <alignment horizontal="center" vertical="center"/>
    </xf>
    <xf numFmtId="0" fontId="9" fillId="4" borderId="66" xfId="0" applyFont="1" applyFill="1" applyBorder="1" applyAlignment="1">
      <alignment horizontal="left" vertical="center"/>
    </xf>
    <xf numFmtId="1" fontId="9" fillId="4" borderId="1" xfId="0" applyNumberFormat="1" applyFont="1" applyFill="1" applyBorder="1" applyAlignment="1" applyProtection="1">
      <alignment horizontal="center" vertical="center"/>
      <protection locked="0"/>
    </xf>
    <xf numFmtId="164" fontId="14" fillId="0" borderId="28" xfId="0" applyNumberFormat="1" applyFont="1" applyBorder="1" applyAlignment="1" applyProtection="1">
      <alignment horizontal="center" vertical="center"/>
    </xf>
    <xf numFmtId="1" fontId="9" fillId="4" borderId="102" xfId="0" applyNumberFormat="1" applyFont="1" applyFill="1" applyBorder="1" applyAlignment="1" applyProtection="1">
      <alignment horizontal="center" vertical="center"/>
      <protection locked="0"/>
    </xf>
    <xf numFmtId="1" fontId="9" fillId="3" borderId="17" xfId="0" applyNumberFormat="1" applyFont="1" applyFill="1" applyBorder="1" applyAlignment="1" applyProtection="1">
      <alignment horizontal="center" vertical="center"/>
      <protection locked="0"/>
    </xf>
    <xf numFmtId="164" fontId="14" fillId="0" borderId="88" xfId="0" applyNumberFormat="1" applyFont="1" applyBorder="1" applyAlignment="1" applyProtection="1">
      <alignment horizontal="center" vertical="center"/>
    </xf>
    <xf numFmtId="0" fontId="9" fillId="4" borderId="66" xfId="0" applyFont="1" applyFill="1" applyBorder="1"/>
    <xf numFmtId="1" fontId="9" fillId="3" borderId="17" xfId="0" applyNumberFormat="1" applyFont="1" applyFill="1" applyBorder="1" applyAlignment="1">
      <alignment horizontal="center" vertical="center"/>
    </xf>
    <xf numFmtId="0" fontId="9" fillId="4" borderId="72" xfId="0" applyFont="1" applyFill="1" applyBorder="1" applyAlignment="1">
      <alignment horizontal="left" vertical="center"/>
    </xf>
    <xf numFmtId="164" fontId="14" fillId="0" borderId="42" xfId="0" applyNumberFormat="1" applyFont="1" applyBorder="1" applyAlignment="1" applyProtection="1">
      <alignment horizontal="center" vertical="center"/>
    </xf>
    <xf numFmtId="164" fontId="14" fillId="0" borderId="89" xfId="0" applyNumberFormat="1" applyFont="1" applyBorder="1" applyAlignment="1" applyProtection="1">
      <alignment horizontal="center" vertical="center"/>
    </xf>
    <xf numFmtId="0" fontId="9" fillId="0" borderId="0" xfId="0" applyFont="1" applyBorder="1" applyAlignment="1">
      <alignment horizontal="center"/>
    </xf>
    <xf numFmtId="0" fontId="8" fillId="0" borderId="85" xfId="0" applyFont="1" applyBorder="1" applyAlignment="1">
      <alignment horizontal="center" vertical="center"/>
    </xf>
    <xf numFmtId="164" fontId="14" fillId="0" borderId="86" xfId="0" applyNumberFormat="1" applyFont="1" applyBorder="1" applyAlignment="1" applyProtection="1">
      <alignment horizontal="center" vertical="center"/>
    </xf>
    <xf numFmtId="164" fontId="14" fillId="0" borderId="56" xfId="0" applyNumberFormat="1" applyFont="1" applyBorder="1" applyAlignment="1" applyProtection="1">
      <alignment horizontal="center" vertical="center"/>
    </xf>
    <xf numFmtId="0" fontId="9" fillId="4" borderId="66" xfId="0" applyFont="1" applyFill="1" applyBorder="1" applyAlignment="1" applyProtection="1">
      <alignment horizontal="center" vertical="center"/>
      <protection locked="0"/>
    </xf>
    <xf numFmtId="2" fontId="9" fillId="4" borderId="1" xfId="0" applyNumberFormat="1" applyFont="1" applyFill="1" applyBorder="1" applyAlignment="1" applyProtection="1">
      <alignment horizontal="center" vertical="center"/>
      <protection locked="0"/>
    </xf>
    <xf numFmtId="0" fontId="9" fillId="4" borderId="1" xfId="0" applyFont="1" applyFill="1" applyBorder="1" applyAlignment="1" applyProtection="1">
      <alignment horizontal="center" vertical="center"/>
      <protection locked="0"/>
    </xf>
    <xf numFmtId="2" fontId="9" fillId="4" borderId="72" xfId="0" applyNumberFormat="1" applyFont="1" applyFill="1" applyBorder="1" applyAlignment="1" applyProtection="1">
      <alignment horizontal="center" vertical="center"/>
      <protection locked="0"/>
    </xf>
    <xf numFmtId="2" fontId="9" fillId="4" borderId="3" xfId="0" applyNumberFormat="1" applyFont="1" applyFill="1" applyBorder="1" applyAlignment="1" applyProtection="1">
      <alignment horizontal="center" vertical="center"/>
      <protection locked="0"/>
    </xf>
    <xf numFmtId="0" fontId="8" fillId="0" borderId="0" xfId="0" applyFont="1" applyBorder="1" applyAlignment="1">
      <alignment horizontal="right" vertical="center"/>
    </xf>
    <xf numFmtId="0" fontId="8" fillId="0" borderId="90" xfId="0" applyFont="1" applyBorder="1" applyAlignment="1">
      <alignment horizontal="right" vertical="center"/>
    </xf>
    <xf numFmtId="0" fontId="6" fillId="0" borderId="0" xfId="0" applyFont="1" applyAlignment="1">
      <alignment vertical="center"/>
    </xf>
    <xf numFmtId="164" fontId="14" fillId="0" borderId="134" xfId="0" applyNumberFormat="1" applyFont="1" applyBorder="1" applyAlignment="1" applyProtection="1">
      <alignment horizontal="center" vertical="center"/>
    </xf>
    <xf numFmtId="1" fontId="14" fillId="0" borderId="129" xfId="0" applyNumberFormat="1" applyFont="1" applyFill="1" applyBorder="1" applyAlignment="1" applyProtection="1">
      <alignment horizontal="center" vertical="center"/>
    </xf>
    <xf numFmtId="164" fontId="14" fillId="0" borderId="98" xfId="0" applyNumberFormat="1" applyFont="1" applyBorder="1" applyAlignment="1" applyProtection="1">
      <alignment horizontal="center" vertical="center"/>
    </xf>
    <xf numFmtId="164" fontId="14" fillId="0" borderId="105" xfId="0" applyNumberFormat="1" applyFont="1" applyFill="1" applyBorder="1" applyAlignment="1" applyProtection="1">
      <alignment horizontal="center" vertical="center"/>
    </xf>
    <xf numFmtId="1" fontId="14" fillId="0" borderId="92" xfId="0" applyNumberFormat="1" applyFont="1" applyBorder="1" applyAlignment="1" applyProtection="1">
      <alignment horizontal="center" vertical="center"/>
    </xf>
    <xf numFmtId="1" fontId="14" fillId="0" borderId="105" xfId="0" applyNumberFormat="1" applyFont="1" applyBorder="1" applyAlignment="1" applyProtection="1">
      <alignment horizontal="center" vertical="center"/>
    </xf>
    <xf numFmtId="1" fontId="41" fillId="0" borderId="118" xfId="0" applyNumberFormat="1" applyFont="1" applyBorder="1" applyAlignment="1" applyProtection="1">
      <alignment horizontal="center" vertical="center"/>
    </xf>
    <xf numFmtId="164" fontId="16" fillId="0" borderId="116" xfId="0" applyNumberFormat="1" applyFont="1" applyFill="1" applyBorder="1" applyAlignment="1" applyProtection="1">
      <alignment horizontal="center" vertical="center"/>
    </xf>
    <xf numFmtId="1" fontId="14" fillId="0" borderId="112" xfId="0" applyNumberFormat="1" applyFont="1" applyBorder="1" applyAlignment="1" applyProtection="1">
      <alignment horizontal="center" vertical="center"/>
    </xf>
    <xf numFmtId="1" fontId="14" fillId="0" borderId="130" xfId="0" applyNumberFormat="1" applyFont="1" applyFill="1" applyBorder="1" applyAlignment="1" applyProtection="1">
      <alignment horizontal="center" vertical="center"/>
    </xf>
    <xf numFmtId="1" fontId="41" fillId="0" borderId="112" xfId="0" applyNumberFormat="1" applyFont="1" applyFill="1" applyBorder="1" applyAlignment="1" applyProtection="1">
      <alignment horizontal="center" vertical="center"/>
    </xf>
    <xf numFmtId="1" fontId="41" fillId="0" borderId="0" xfId="0" applyNumberFormat="1" applyFont="1" applyBorder="1" applyAlignment="1" applyProtection="1">
      <alignment horizontal="center" vertical="center"/>
    </xf>
    <xf numFmtId="0" fontId="9" fillId="4" borderId="111" xfId="0" applyFont="1" applyFill="1" applyBorder="1" applyAlignment="1" applyProtection="1">
      <alignment horizontal="center" vertical="center"/>
      <protection locked="0"/>
    </xf>
    <xf numFmtId="1" fontId="9" fillId="4" borderId="23" xfId="0" applyNumberFormat="1" applyFont="1" applyFill="1" applyBorder="1" applyAlignment="1" applyProtection="1">
      <alignment horizontal="center" vertical="center"/>
      <protection locked="0"/>
    </xf>
    <xf numFmtId="164" fontId="8" fillId="4" borderId="26" xfId="0" applyNumberFormat="1" applyFont="1" applyFill="1" applyBorder="1" applyAlignment="1" applyProtection="1">
      <alignment horizontal="center" vertical="center"/>
      <protection locked="0"/>
    </xf>
    <xf numFmtId="1" fontId="14" fillId="0" borderId="0" xfId="0" applyNumberFormat="1" applyFont="1" applyFill="1" applyBorder="1" applyAlignment="1" applyProtection="1">
      <alignment horizontal="center" vertical="center"/>
    </xf>
    <xf numFmtId="1" fontId="14" fillId="0" borderId="135" xfId="0" applyNumberFormat="1" applyFont="1" applyFill="1" applyBorder="1" applyAlignment="1" applyProtection="1">
      <alignment horizontal="center" vertical="center"/>
    </xf>
    <xf numFmtId="1" fontId="14" fillId="0" borderId="74" xfId="0" applyNumberFormat="1" applyFont="1" applyBorder="1" applyAlignment="1" applyProtection="1">
      <alignment horizontal="center" vertical="center"/>
    </xf>
    <xf numFmtId="0" fontId="11" fillId="3" borderId="0" xfId="0" applyFont="1" applyFill="1" applyBorder="1" applyAlignment="1">
      <alignment horizontal="center" vertical="center" wrapText="1"/>
    </xf>
    <xf numFmtId="0" fontId="13" fillId="0" borderId="0" xfId="0" applyFont="1" applyBorder="1" applyAlignment="1">
      <alignment vertical="center"/>
    </xf>
    <xf numFmtId="166" fontId="20" fillId="0" borderId="0" xfId="0" applyNumberFormat="1" applyFont="1" applyBorder="1" applyAlignment="1" applyProtection="1">
      <alignment horizontal="center" vertical="center"/>
    </xf>
    <xf numFmtId="2" fontId="20" fillId="4" borderId="0" xfId="0" applyNumberFormat="1" applyFont="1" applyFill="1" applyBorder="1" applyAlignment="1" applyProtection="1">
      <alignment horizontal="center" vertical="center"/>
    </xf>
    <xf numFmtId="166" fontId="20" fillId="4" borderId="7" xfId="0" applyNumberFormat="1" applyFont="1" applyFill="1" applyBorder="1" applyAlignment="1" applyProtection="1">
      <alignment horizontal="center" vertical="center"/>
      <protection locked="0"/>
    </xf>
    <xf numFmtId="0" fontId="13" fillId="0" borderId="27" xfId="0" applyFont="1" applyBorder="1" applyAlignment="1">
      <alignment vertical="center"/>
    </xf>
    <xf numFmtId="166" fontId="20" fillId="0" borderId="27" xfId="0" applyNumberFormat="1" applyFont="1" applyBorder="1" applyAlignment="1" applyProtection="1">
      <alignment horizontal="center" vertical="center"/>
    </xf>
    <xf numFmtId="2" fontId="20" fillId="4" borderId="27" xfId="0" applyNumberFormat="1" applyFont="1" applyFill="1" applyBorder="1" applyAlignment="1" applyProtection="1">
      <alignment horizontal="center" vertical="center"/>
      <protection locked="0"/>
    </xf>
    <xf numFmtId="165" fontId="14" fillId="0" borderId="27" xfId="0" applyNumberFormat="1" applyFont="1" applyBorder="1" applyAlignment="1" applyProtection="1">
      <alignment horizontal="center" vertical="center"/>
    </xf>
    <xf numFmtId="166" fontId="22" fillId="0" borderId="0" xfId="0" applyNumberFormat="1" applyFont="1" applyBorder="1" applyAlignment="1">
      <alignment horizontal="center" vertical="center" wrapText="1"/>
    </xf>
    <xf numFmtId="166" fontId="22" fillId="0" borderId="8" xfId="0" applyNumberFormat="1" applyFont="1" applyBorder="1" applyAlignment="1">
      <alignment horizontal="center" vertical="center"/>
    </xf>
    <xf numFmtId="0" fontId="7" fillId="0" borderId="0" xfId="0" applyFont="1" applyBorder="1" applyAlignment="1">
      <alignment horizontal="center" vertical="center"/>
    </xf>
    <xf numFmtId="0" fontId="6" fillId="0" borderId="0" xfId="0" applyFont="1" applyBorder="1" applyAlignment="1">
      <alignment horizontal="center" vertical="center"/>
    </xf>
    <xf numFmtId="0" fontId="8" fillId="0" borderId="0" xfId="0" applyFont="1" applyBorder="1" applyAlignment="1" applyProtection="1">
      <alignment horizontal="left"/>
      <protection locked="0"/>
    </xf>
    <xf numFmtId="0" fontId="6" fillId="0" borderId="0" xfId="0" applyFont="1" applyAlignment="1" applyProtection="1">
      <alignment vertical="center"/>
      <protection locked="0"/>
    </xf>
    <xf numFmtId="0" fontId="7" fillId="0" borderId="0" xfId="0" applyFont="1" applyBorder="1" applyAlignment="1" applyProtection="1">
      <alignment horizontal="left" vertical="center"/>
      <protection locked="0"/>
    </xf>
    <xf numFmtId="0" fontId="7" fillId="0" borderId="0" xfId="0" applyFont="1" applyAlignment="1" applyProtection="1">
      <alignment horizontal="left" vertical="center"/>
    </xf>
    <xf numFmtId="0" fontId="11" fillId="0" borderId="11" xfId="0" applyFont="1" applyBorder="1" applyAlignment="1">
      <alignment horizontal="center" vertical="center"/>
    </xf>
    <xf numFmtId="0" fontId="11" fillId="0" borderId="62" xfId="0" applyFont="1" applyBorder="1" applyAlignment="1">
      <alignment horizontal="center" vertical="center"/>
    </xf>
    <xf numFmtId="0" fontId="11" fillId="0" borderId="65" xfId="0" applyFont="1" applyBorder="1" applyAlignment="1">
      <alignment horizontal="center" vertical="center"/>
    </xf>
    <xf numFmtId="0" fontId="11" fillId="0" borderId="51" xfId="0" applyFont="1" applyBorder="1" applyAlignment="1">
      <alignment horizontal="center" vertical="center"/>
    </xf>
    <xf numFmtId="0" fontId="11" fillId="0" borderId="57" xfId="0" applyFont="1" applyBorder="1" applyAlignment="1">
      <alignment horizontal="center" vertical="center"/>
    </xf>
    <xf numFmtId="0" fontId="6" fillId="0" borderId="0" xfId="0" applyFont="1" applyBorder="1" applyAlignment="1">
      <alignment horizontal="right" vertical="center"/>
    </xf>
    <xf numFmtId="0" fontId="7" fillId="0" borderId="0" xfId="0" applyFont="1" applyBorder="1" applyAlignment="1" applyProtection="1">
      <alignment horizontal="left" vertical="center"/>
    </xf>
    <xf numFmtId="0" fontId="9" fillId="0" borderId="0" xfId="0" applyFont="1" applyBorder="1" applyAlignment="1">
      <alignment horizontal="left"/>
    </xf>
    <xf numFmtId="0" fontId="11" fillId="0" borderId="0" xfId="0" applyFont="1" applyAlignment="1">
      <alignment horizontal="left" vertical="center" wrapText="1"/>
    </xf>
    <xf numFmtId="0" fontId="8" fillId="0" borderId="2" xfId="0" applyFont="1" applyBorder="1" applyAlignment="1">
      <alignment horizontal="center" vertical="center"/>
    </xf>
    <xf numFmtId="0" fontId="16" fillId="0" borderId="63"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6" fillId="0" borderId="16" xfId="0" applyFont="1" applyFill="1" applyBorder="1" applyAlignment="1">
      <alignment horizontal="center" vertical="center"/>
    </xf>
    <xf numFmtId="0" fontId="16" fillId="0" borderId="13" xfId="0" applyFont="1" applyFill="1" applyBorder="1" applyAlignment="1">
      <alignment horizontal="center" vertical="center"/>
    </xf>
    <xf numFmtId="0" fontId="16" fillId="0" borderId="14" xfId="0" applyFont="1" applyFill="1" applyBorder="1" applyAlignment="1">
      <alignment horizontal="center" vertical="center"/>
    </xf>
    <xf numFmtId="0" fontId="8" fillId="0" borderId="100" xfId="0" applyFont="1" applyFill="1" applyBorder="1" applyAlignment="1">
      <alignment horizontal="center" vertical="center" wrapText="1"/>
    </xf>
    <xf numFmtId="0" fontId="8" fillId="0" borderId="91" xfId="0" applyFont="1" applyFill="1" applyBorder="1" applyAlignment="1">
      <alignment horizontal="center" vertical="center" wrapText="1"/>
    </xf>
    <xf numFmtId="0" fontId="11" fillId="0" borderId="100" xfId="0" applyFont="1" applyFill="1" applyBorder="1" applyAlignment="1">
      <alignment horizontal="center" vertical="center" wrapText="1"/>
    </xf>
    <xf numFmtId="0" fontId="8" fillId="0" borderId="91" xfId="0" applyFont="1" applyFill="1" applyBorder="1" applyAlignment="1">
      <alignment horizontal="center" vertical="center"/>
    </xf>
    <xf numFmtId="164" fontId="14" fillId="0" borderId="0" xfId="0" applyNumberFormat="1" applyFont="1" applyFill="1" applyBorder="1" applyAlignment="1">
      <alignment horizontal="right" vertical="center"/>
    </xf>
    <xf numFmtId="0" fontId="16" fillId="0" borderId="15" xfId="0" applyFont="1" applyBorder="1" applyAlignment="1">
      <alignment horizontal="center" vertical="top" wrapText="1"/>
    </xf>
    <xf numFmtId="0" fontId="16" fillId="0" borderId="0" xfId="0" applyFont="1" applyBorder="1" applyAlignment="1">
      <alignment horizontal="center" vertical="top" wrapText="1"/>
    </xf>
    <xf numFmtId="0" fontId="11" fillId="0" borderId="0" xfId="0" applyFont="1" applyBorder="1" applyAlignment="1">
      <alignment horizontal="right" vertical="center" wrapText="1"/>
    </xf>
    <xf numFmtId="0" fontId="11" fillId="0" borderId="0" xfId="0" applyFont="1" applyBorder="1" applyAlignment="1">
      <alignment horizontal="right" vertical="center"/>
    </xf>
    <xf numFmtId="164" fontId="14" fillId="0" borderId="133" xfId="0" applyNumberFormat="1" applyFont="1" applyBorder="1" applyAlignment="1" applyProtection="1">
      <alignment horizontal="center" vertical="center"/>
    </xf>
    <xf numFmtId="164" fontId="14" fillId="0" borderId="60" xfId="0" applyNumberFormat="1" applyFont="1" applyBorder="1" applyAlignment="1" applyProtection="1">
      <alignment horizontal="center" vertical="center"/>
    </xf>
    <xf numFmtId="0" fontId="7" fillId="0" borderId="0" xfId="0" applyFont="1" applyBorder="1" applyAlignment="1">
      <alignment horizontal="center" vertical="center"/>
    </xf>
    <xf numFmtId="0" fontId="8" fillId="0" borderId="81" xfId="0" applyFont="1" applyBorder="1" applyAlignment="1">
      <alignment horizontal="center"/>
    </xf>
    <xf numFmtId="0" fontId="8" fillId="0" borderId="82" xfId="0" applyFont="1" applyBorder="1" applyAlignment="1">
      <alignment horizontal="center"/>
    </xf>
    <xf numFmtId="0" fontId="8" fillId="0" borderId="83" xfId="0" applyFont="1" applyBorder="1" applyAlignment="1">
      <alignment horizontal="center"/>
    </xf>
    <xf numFmtId="0" fontId="8" fillId="0" borderId="84" xfId="0" applyFont="1" applyBorder="1" applyAlignment="1">
      <alignment horizontal="center"/>
    </xf>
    <xf numFmtId="0" fontId="8" fillId="0" borderId="23" xfId="0" applyFont="1" applyBorder="1" applyAlignment="1">
      <alignment horizontal="center"/>
    </xf>
    <xf numFmtId="0" fontId="11" fillId="0" borderId="126" xfId="0" applyFont="1" applyBorder="1" applyAlignment="1">
      <alignment horizontal="center" vertical="center" wrapText="1"/>
    </xf>
    <xf numFmtId="0" fontId="11" fillId="0" borderId="127" xfId="0" applyFont="1" applyBorder="1" applyAlignment="1">
      <alignment horizontal="center" vertical="center" wrapText="1"/>
    </xf>
    <xf numFmtId="0" fontId="8" fillId="0" borderId="23" xfId="0" applyFont="1" applyBorder="1" applyAlignment="1">
      <alignment horizontal="center" vertical="center"/>
    </xf>
    <xf numFmtId="0" fontId="8" fillId="0" borderId="0" xfId="0" applyFont="1" applyBorder="1" applyAlignment="1">
      <alignment horizontal="center" vertical="center"/>
    </xf>
    <xf numFmtId="0" fontId="11" fillId="0" borderId="0" xfId="0" applyFont="1" applyAlignment="1">
      <alignment horizontal="center" wrapText="1"/>
    </xf>
    <xf numFmtId="0" fontId="11" fillId="0" borderId="2" xfId="0" applyFont="1" applyBorder="1" applyAlignment="1">
      <alignment horizontal="center" wrapText="1"/>
    </xf>
    <xf numFmtId="0" fontId="11" fillId="0" borderId="0" xfId="0" applyFont="1" applyBorder="1" applyAlignment="1">
      <alignment horizontal="center" wrapText="1"/>
    </xf>
    <xf numFmtId="0" fontId="37" fillId="0" borderId="0" xfId="0" applyFont="1" applyFill="1" applyBorder="1" applyAlignment="1">
      <alignment horizontal="center" vertical="center"/>
    </xf>
    <xf numFmtId="0" fontId="18" fillId="0" borderId="113" xfId="0" applyFont="1" applyFill="1" applyBorder="1" applyAlignment="1">
      <alignment horizontal="center" vertical="center"/>
    </xf>
    <xf numFmtId="0" fontId="18" fillId="0" borderId="114" xfId="0" applyFont="1" applyFill="1" applyBorder="1" applyAlignment="1">
      <alignment horizontal="center" vertical="center"/>
    </xf>
    <xf numFmtId="0" fontId="18" fillId="0" borderId="115" xfId="0" applyFont="1" applyFill="1" applyBorder="1" applyAlignment="1">
      <alignment horizontal="center" vertical="center"/>
    </xf>
    <xf numFmtId="0" fontId="11" fillId="0" borderId="102" xfId="0" applyFont="1" applyBorder="1" applyAlignment="1" applyProtection="1">
      <alignment horizontal="center" vertical="center" wrapText="1"/>
      <protection locked="0"/>
    </xf>
    <xf numFmtId="0" fontId="11" fillId="0" borderId="17" xfId="0" applyFont="1" applyBorder="1" applyAlignment="1" applyProtection="1">
      <alignment horizontal="center" vertical="center" wrapText="1"/>
      <protection locked="0"/>
    </xf>
    <xf numFmtId="0" fontId="8" fillId="0" borderId="87" xfId="0" applyFont="1" applyBorder="1" applyAlignment="1">
      <alignment horizontal="center" vertical="center"/>
    </xf>
    <xf numFmtId="0" fontId="8" fillId="0" borderId="103" xfId="0" applyFont="1" applyBorder="1" applyAlignment="1">
      <alignment horizontal="center" vertical="center"/>
    </xf>
    <xf numFmtId="0" fontId="8" fillId="0" borderId="0" xfId="0" applyFont="1" applyBorder="1" applyAlignment="1">
      <alignment horizontal="center"/>
    </xf>
    <xf numFmtId="0" fontId="8" fillId="0" borderId="23" xfId="0" applyFont="1" applyFill="1" applyBorder="1" applyAlignment="1">
      <alignment horizontal="center" vertical="center"/>
    </xf>
    <xf numFmtId="0" fontId="11" fillId="0" borderId="69" xfId="0" applyFont="1" applyBorder="1" applyAlignment="1">
      <alignment horizontal="center" vertical="center" wrapText="1"/>
    </xf>
    <xf numFmtId="0" fontId="11" fillId="0" borderId="65"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6" xfId="0" applyFont="1" applyBorder="1" applyAlignment="1">
      <alignment horizontal="center" vertical="center" wrapText="1"/>
    </xf>
    <xf numFmtId="0" fontId="16" fillId="0" borderId="47" xfId="0" applyFont="1" applyBorder="1" applyAlignment="1">
      <alignment horizontal="center" vertical="center" wrapText="1"/>
    </xf>
    <xf numFmtId="0" fontId="16" fillId="0" borderId="48" xfId="0" applyFont="1" applyBorder="1" applyAlignment="1">
      <alignment horizontal="center" vertical="center" wrapText="1"/>
    </xf>
    <xf numFmtId="0" fontId="16" fillId="0" borderId="75" xfId="0" applyFont="1" applyBorder="1" applyAlignment="1">
      <alignment horizontal="center" vertical="center" wrapText="1"/>
    </xf>
    <xf numFmtId="0" fontId="16" fillId="0" borderId="76" xfId="0" applyFont="1" applyBorder="1" applyAlignment="1">
      <alignment horizontal="center" vertical="center" wrapText="1"/>
    </xf>
    <xf numFmtId="0" fontId="11" fillId="0" borderId="63" xfId="0" applyFont="1" applyBorder="1" applyAlignment="1">
      <alignment horizontal="center" vertical="center"/>
    </xf>
    <xf numFmtId="0" fontId="11" fillId="0" borderId="6" xfId="0" applyFont="1" applyBorder="1" applyAlignment="1">
      <alignment horizontal="center" vertical="center"/>
    </xf>
    <xf numFmtId="0" fontId="11" fillId="0" borderId="64" xfId="0" applyFont="1" applyBorder="1" applyAlignment="1">
      <alignment horizontal="center" vertical="center" wrapText="1"/>
    </xf>
    <xf numFmtId="0" fontId="11" fillId="0" borderId="46" xfId="0" applyFont="1" applyBorder="1" applyAlignment="1">
      <alignment horizontal="center" vertical="center" wrapText="1"/>
    </xf>
    <xf numFmtId="0" fontId="17" fillId="0" borderId="121" xfId="0" applyFont="1" applyFill="1" applyBorder="1" applyAlignment="1">
      <alignment horizontal="center" vertical="center" wrapText="1"/>
    </xf>
    <xf numFmtId="0" fontId="17" fillId="0" borderId="122" xfId="0" applyFont="1" applyFill="1" applyBorder="1" applyAlignment="1">
      <alignment horizontal="center" vertical="center" wrapText="1"/>
    </xf>
    <xf numFmtId="0" fontId="17" fillId="0" borderId="123" xfId="0" applyFont="1" applyFill="1" applyBorder="1" applyAlignment="1">
      <alignment horizontal="center" vertical="center" wrapText="1"/>
    </xf>
    <xf numFmtId="0" fontId="17" fillId="0" borderId="124" xfId="0" applyFont="1" applyFill="1" applyBorder="1" applyAlignment="1">
      <alignment horizontal="center" vertical="center" wrapText="1"/>
    </xf>
    <xf numFmtId="0" fontId="17" fillId="0" borderId="120" xfId="0" applyFont="1" applyFill="1" applyBorder="1" applyAlignment="1">
      <alignment horizontal="center" vertical="center" wrapText="1"/>
    </xf>
    <xf numFmtId="0" fontId="17" fillId="0" borderId="125" xfId="0" applyFont="1" applyFill="1" applyBorder="1" applyAlignment="1">
      <alignment horizontal="center" vertical="center" wrapText="1"/>
    </xf>
    <xf numFmtId="0" fontId="8" fillId="0" borderId="0" xfId="0" applyFont="1" applyBorder="1" applyAlignment="1">
      <alignment horizontal="center" vertical="top"/>
    </xf>
  </cellXfs>
  <cellStyles count="11">
    <cellStyle name="Comma 2" xfId="2"/>
    <cellStyle name="Currency 2" xfId="3"/>
    <cellStyle name="Currency 2 2" xfId="5"/>
    <cellStyle name="Currency 2 2 2" xfId="9"/>
    <cellStyle name="Normal" xfId="0" builtinId="0"/>
    <cellStyle name="Normal 2" xfId="4"/>
    <cellStyle name="Normal 2 2" xfId="6"/>
    <cellStyle name="Normal 2 2 2" xfId="8"/>
    <cellStyle name="Normal 3" xfId="7"/>
    <cellStyle name="Normal 4" xfId="10"/>
    <cellStyle name="Normal_Sheet1" xfId="1"/>
  </cellStyles>
  <dxfs count="0"/>
  <tableStyles count="0" defaultTableStyle="TableStyleMedium2" defaultPivotStyle="PivotStyleLight16"/>
  <colors>
    <mruColors>
      <color rgb="FFF1FDE7"/>
      <color rgb="FFF5FFEB"/>
      <color rgb="FF66FF33"/>
      <color rgb="FF339933"/>
      <color rgb="FFFAEAF6"/>
      <color rgb="FFFDFFFB"/>
      <color rgb="FF0000FF"/>
      <color rgb="FFFAE2F7"/>
      <color rgb="FFF8D6F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YEAST vs BRIX</a:t>
            </a:r>
          </a:p>
        </c:rich>
      </c:tx>
      <c:overlay val="0"/>
    </c:title>
    <c:autoTitleDeleted val="0"/>
    <c:plotArea>
      <c:layout>
        <c:manualLayout>
          <c:layoutTarget val="inner"/>
          <c:xMode val="edge"/>
          <c:yMode val="edge"/>
          <c:x val="9.3085739282589675E-2"/>
          <c:y val="0.12467424905220181"/>
          <c:w val="0.80352405949256345"/>
          <c:h val="0.7270245385993418"/>
        </c:manualLayout>
      </c:layout>
      <c:scatterChart>
        <c:scatterStyle val="lineMarker"/>
        <c:varyColors val="0"/>
        <c:ser>
          <c:idx val="0"/>
          <c:order val="0"/>
          <c:tx>
            <c:v>BRIX ° YEAST g/L</c:v>
          </c:tx>
          <c:spPr>
            <a:ln w="28575">
              <a:noFill/>
            </a:ln>
          </c:spPr>
          <c:marker>
            <c:symbol val="diamond"/>
            <c:size val="5"/>
          </c:marker>
          <c:trendline>
            <c:trendlineType val="poly"/>
            <c:order val="2"/>
            <c:backward val="2"/>
            <c:dispRSqr val="1"/>
            <c:dispEq val="1"/>
            <c:trendlineLbl>
              <c:layout>
                <c:manualLayout>
                  <c:x val="3.6903078316613949E-2"/>
                  <c:y val="0.46065540701210961"/>
                </c:manualLayout>
              </c:layout>
              <c:numFmt formatCode="General" sourceLinked="0"/>
            </c:trendlineLbl>
          </c:trendline>
          <c:xVal>
            <c:numLit>
              <c:formatCode>General</c:formatCode>
              <c:ptCount val="8"/>
              <c:pt idx="0">
                <c:v>22</c:v>
              </c:pt>
              <c:pt idx="1">
                <c:v>23</c:v>
              </c:pt>
              <c:pt idx="2">
                <c:v>24</c:v>
              </c:pt>
              <c:pt idx="3">
                <c:v>25</c:v>
              </c:pt>
              <c:pt idx="4">
                <c:v>27</c:v>
              </c:pt>
              <c:pt idx="5">
                <c:v>29</c:v>
              </c:pt>
              <c:pt idx="6">
                <c:v>30</c:v>
              </c:pt>
              <c:pt idx="7">
                <c:v>31</c:v>
              </c:pt>
            </c:numLit>
          </c:xVal>
          <c:yVal>
            <c:numLit>
              <c:formatCode>General</c:formatCode>
              <c:ptCount val="8"/>
              <c:pt idx="0">
                <c:v>0.25</c:v>
              </c:pt>
              <c:pt idx="1">
                <c:v>0.26</c:v>
              </c:pt>
              <c:pt idx="2">
                <c:v>0.27500000000000002</c:v>
              </c:pt>
              <c:pt idx="3">
                <c:v>0.28999999999999998</c:v>
              </c:pt>
              <c:pt idx="4">
                <c:v>0.33500000000000002</c:v>
              </c:pt>
              <c:pt idx="5">
                <c:v>0.38700000000000001</c:v>
              </c:pt>
              <c:pt idx="6">
                <c:v>0.41</c:v>
              </c:pt>
              <c:pt idx="7">
                <c:v>0.44500000000000001</c:v>
              </c:pt>
            </c:numLit>
          </c:yVal>
          <c:smooth val="0"/>
          <c:extLst>
            <c:ext xmlns:c16="http://schemas.microsoft.com/office/drawing/2014/chart" uri="{C3380CC4-5D6E-409C-BE32-E72D297353CC}">
              <c16:uniqueId val="{00000000-248C-4A66-A4DC-AB310546ED5F}"/>
            </c:ext>
          </c:extLst>
        </c:ser>
        <c:dLbls>
          <c:showLegendKey val="0"/>
          <c:showVal val="0"/>
          <c:showCatName val="0"/>
          <c:showSerName val="0"/>
          <c:showPercent val="0"/>
          <c:showBubbleSize val="0"/>
        </c:dLbls>
        <c:axId val="130491904"/>
        <c:axId val="130493824"/>
      </c:scatterChart>
      <c:valAx>
        <c:axId val="130491904"/>
        <c:scaling>
          <c:orientation val="minMax"/>
          <c:max val="31.5"/>
          <c:min val="20"/>
        </c:scaling>
        <c:delete val="0"/>
        <c:axPos val="b"/>
        <c:minorGridlines/>
        <c:title>
          <c:tx>
            <c:rich>
              <a:bodyPr/>
              <a:lstStyle/>
              <a:p>
                <a:pPr>
                  <a:defRPr/>
                </a:pPr>
                <a:r>
                  <a:rPr lang="en-US"/>
                  <a:t>Brix °</a:t>
                </a:r>
              </a:p>
            </c:rich>
          </c:tx>
          <c:overlay val="0"/>
        </c:title>
        <c:numFmt formatCode="General" sourceLinked="1"/>
        <c:majorTickMark val="out"/>
        <c:minorTickMark val="out"/>
        <c:tickLblPos val="nextTo"/>
        <c:crossAx val="130493824"/>
        <c:crosses val="autoZero"/>
        <c:crossBetween val="midCat"/>
        <c:majorUnit val="1"/>
        <c:minorUnit val="0.5"/>
      </c:valAx>
      <c:valAx>
        <c:axId val="130493824"/>
        <c:scaling>
          <c:orientation val="minMax"/>
          <c:max val="0.45"/>
          <c:min val="0.2"/>
        </c:scaling>
        <c:delete val="0"/>
        <c:axPos val="l"/>
        <c:majorGridlines/>
        <c:minorGridlines/>
        <c:title>
          <c:tx>
            <c:rich>
              <a:bodyPr rot="-5400000" vert="horz"/>
              <a:lstStyle/>
              <a:p>
                <a:pPr>
                  <a:defRPr/>
                </a:pPr>
                <a:r>
                  <a:rPr lang="en-US"/>
                  <a:t>Yeast g/L</a:t>
                </a:r>
              </a:p>
            </c:rich>
          </c:tx>
          <c:overlay val="0"/>
        </c:title>
        <c:numFmt formatCode="General" sourceLinked="1"/>
        <c:majorTickMark val="out"/>
        <c:minorTickMark val="none"/>
        <c:tickLblPos val="nextTo"/>
        <c:crossAx val="130491904"/>
        <c:crosses val="autoZero"/>
        <c:crossBetween val="midCat"/>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t>YAN vs Brix </a:t>
            </a:r>
          </a:p>
          <a:p>
            <a:pPr>
              <a:defRPr/>
            </a:pPr>
            <a:r>
              <a:rPr lang="en-US" sz="1200"/>
              <a:t>Scott Laboratories
2016 Fermentation Handbook</a:t>
            </a:r>
          </a:p>
        </c:rich>
      </c:tx>
      <c:overlay val="0"/>
    </c:title>
    <c:autoTitleDeleted val="0"/>
    <c:plotArea>
      <c:layout>
        <c:manualLayout>
          <c:layoutTarget val="inner"/>
          <c:xMode val="edge"/>
          <c:yMode val="edge"/>
          <c:x val="0.13038610041648077"/>
          <c:y val="0.21840788665309549"/>
          <c:w val="0.82946693923220549"/>
          <c:h val="0.62224786972755031"/>
        </c:manualLayout>
      </c:layout>
      <c:scatterChart>
        <c:scatterStyle val="smoothMarker"/>
        <c:varyColors val="0"/>
        <c:ser>
          <c:idx val="0"/>
          <c:order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trendlineType val="linear"/>
            <c:forward val="4"/>
            <c:dispRSqr val="1"/>
            <c:dispEq val="1"/>
            <c:trendlineLbl>
              <c:layout>
                <c:manualLayout>
                  <c:x val="-8.9648410913008E-2"/>
                  <c:y val="0.4004429393487734"/>
                </c:manualLayout>
              </c:layout>
              <c:numFmt formatCode="General" sourceLinked="0"/>
            </c:trendlineLbl>
          </c:trendline>
          <c:xVal>
            <c:numRef>
              <c:f>'Must Yan Nutrient '!$O$42:$O$45</c:f>
            </c:numRef>
          </c:xVal>
          <c:yVal>
            <c:numRef>
              <c:f>'Must Yan Nutrient '!$P$42:$P$45</c:f>
            </c:numRef>
          </c:yVal>
          <c:smooth val="1"/>
          <c:extLst>
            <c:ext xmlns:c16="http://schemas.microsoft.com/office/drawing/2014/chart" uri="{C3380CC4-5D6E-409C-BE32-E72D297353CC}">
              <c16:uniqueId val="{00000000-8F4B-451C-AA24-D15F2A5A99AA}"/>
            </c:ext>
          </c:extLst>
        </c:ser>
        <c:dLbls>
          <c:showLegendKey val="0"/>
          <c:showVal val="0"/>
          <c:showCatName val="0"/>
          <c:showSerName val="0"/>
          <c:showPercent val="0"/>
          <c:showBubbleSize val="0"/>
        </c:dLbls>
        <c:axId val="130679552"/>
        <c:axId val="130681472"/>
      </c:scatterChart>
      <c:valAx>
        <c:axId val="130679552"/>
        <c:scaling>
          <c:orientation val="minMax"/>
          <c:max val="31"/>
          <c:min val="21"/>
        </c:scaling>
        <c:delete val="0"/>
        <c:axPos val="b"/>
        <c:majorGridlines/>
        <c:title>
          <c:tx>
            <c:rich>
              <a:bodyPr/>
              <a:lstStyle/>
              <a:p>
                <a:pPr>
                  <a:defRPr/>
                </a:pPr>
                <a:r>
                  <a:rPr lang="en-US"/>
                  <a:t>° Brix</a:t>
                </a:r>
              </a:p>
            </c:rich>
          </c:tx>
          <c:overlay val="0"/>
        </c:title>
        <c:numFmt formatCode="General" sourceLinked="1"/>
        <c:majorTickMark val="out"/>
        <c:minorTickMark val="none"/>
        <c:tickLblPos val="nextTo"/>
        <c:crossAx val="130681472"/>
        <c:crosses val="autoZero"/>
        <c:crossBetween val="midCat"/>
        <c:majorUnit val="1"/>
      </c:valAx>
      <c:valAx>
        <c:axId val="130681472"/>
        <c:scaling>
          <c:orientation val="minMax"/>
          <c:min val="150"/>
        </c:scaling>
        <c:delete val="0"/>
        <c:axPos val="l"/>
        <c:majorGridlines/>
        <c:title>
          <c:tx>
            <c:rich>
              <a:bodyPr rot="-5400000" vert="horz"/>
              <a:lstStyle/>
              <a:p>
                <a:pPr>
                  <a:defRPr/>
                </a:pPr>
                <a:r>
                  <a:rPr lang="en-US"/>
                  <a:t>YAN Level mgN/L</a:t>
                </a:r>
              </a:p>
            </c:rich>
          </c:tx>
          <c:overlay val="0"/>
        </c:title>
        <c:numFmt formatCode="General" sourceLinked="1"/>
        <c:majorTickMark val="out"/>
        <c:minorTickMark val="none"/>
        <c:tickLblPos val="nextTo"/>
        <c:crossAx val="130679552"/>
        <c:crosses val="autoZero"/>
        <c:crossBetween val="midCat"/>
        <c:majorUnit val="25"/>
      </c:valAx>
    </c:plotArea>
    <c:plotVisOnly val="1"/>
    <c:dispBlanksAs val="gap"/>
    <c:showDLblsOverMax val="0"/>
  </c:chart>
  <c:printSettings>
    <c:headerFooter/>
    <c:pageMargins b="0.75" l="0.7" r="0.7" t="0.75" header="0.3" footer="0.3"/>
    <c:pageSetup/>
  </c:printSettings>
</c:chartSpace>
</file>

<file path=xl/ctrlProps/ctrlProp1.xml><?xml version="1.0" encoding="utf-8"?>
<formControlPr xmlns="http://schemas.microsoft.com/office/spreadsheetml/2009/9/main" objectType="Drop" dropLines="36" dropStyle="combo" dx="16" fmlaLink="A32" fmlaRange="'Must Yan Nutrient '!$O$61:$O$94" noThreeD="1" sel="1" val="0"/>
</file>

<file path=xl/ctrlProps/ctrlProp2.xml><?xml version="1.0" encoding="utf-8"?>
<formControlPr xmlns="http://schemas.microsoft.com/office/spreadsheetml/2009/9/main" objectType="Drop" dropLines="17" dropStyle="combo" dx="16" fmlaLink="A26" fmlaRange="$O$97:$P$113" sel="2" val="0"/>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22412</xdr:colOff>
      <xdr:row>99</xdr:row>
      <xdr:rowOff>93570</xdr:rowOff>
    </xdr:from>
    <xdr:to>
      <xdr:col>5</xdr:col>
      <xdr:colOff>431987</xdr:colOff>
      <xdr:row>106</xdr:row>
      <xdr:rowOff>217395</xdr:rowOff>
    </xdr:to>
    <xdr:sp macro="" textlink="">
      <xdr:nvSpPr>
        <xdr:cNvPr id="2" name="Text Box 16"/>
        <xdr:cNvSpPr txBox="1">
          <a:spLocks noChangeArrowheads="1"/>
        </xdr:cNvSpPr>
      </xdr:nvSpPr>
      <xdr:spPr bwMode="auto">
        <a:xfrm>
          <a:off x="22412" y="24600835"/>
          <a:ext cx="4320428" cy="2320178"/>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0" bIns="0" anchor="t" upright="1"/>
        <a:lstStyle/>
        <a:p>
          <a:pPr algn="l" rtl="0">
            <a:defRPr sz="1000"/>
          </a:pPr>
          <a:r>
            <a:rPr lang="en-CA" sz="1200" b="1" i="0" u="none" strike="noStrike" baseline="0">
              <a:solidFill>
                <a:srgbClr val="800080"/>
              </a:solidFill>
              <a:latin typeface="Arial"/>
              <a:cs typeface="Arial"/>
            </a:rPr>
            <a:t>                            Data Entry Notes</a:t>
          </a:r>
          <a:endParaRPr lang="en-CA" sz="1000" b="1" i="0" u="none" strike="noStrike" baseline="0">
            <a:solidFill>
              <a:srgbClr val="800080"/>
            </a:solidFill>
            <a:latin typeface="Arial"/>
            <a:cs typeface="Arial"/>
          </a:endParaRPr>
        </a:p>
        <a:p>
          <a:pPr algn="l" rtl="0">
            <a:defRPr sz="1000"/>
          </a:pPr>
          <a:r>
            <a:rPr lang="en-CA" sz="1000" b="1" i="0" u="none" strike="noStrike" baseline="0">
              <a:solidFill>
                <a:srgbClr val="800080"/>
              </a:solidFill>
              <a:latin typeface="Arial"/>
              <a:cs typeface="Arial"/>
            </a:rPr>
            <a:t>    </a:t>
          </a:r>
          <a:r>
            <a:rPr lang="en-CA" sz="1000" b="0" i="0" u="none" strike="noStrike" baseline="0">
              <a:solidFill>
                <a:srgbClr val="800080"/>
              </a:solidFill>
              <a:latin typeface="Arial"/>
              <a:cs typeface="Arial"/>
            </a:rPr>
            <a:t>Enter data</a:t>
          </a:r>
          <a:r>
            <a:rPr lang="en-CA" sz="1000" b="1" i="0" u="none" strike="noStrike" baseline="0">
              <a:solidFill>
                <a:srgbClr val="000000"/>
              </a:solidFill>
              <a:latin typeface="Arial"/>
              <a:cs typeface="Arial"/>
            </a:rPr>
            <a:t> </a:t>
          </a:r>
          <a:r>
            <a:rPr lang="en-CA" sz="1200" b="1" i="0" u="none" strike="noStrike" baseline="0">
              <a:solidFill>
                <a:srgbClr val="66FF33"/>
              </a:solidFill>
              <a:latin typeface="Arial"/>
              <a:cs typeface="Arial"/>
            </a:rPr>
            <a:t>in green cells  </a:t>
          </a:r>
          <a:r>
            <a:rPr lang="en-CA" sz="1000" b="0" i="0" u="none" strike="noStrike" baseline="0">
              <a:solidFill>
                <a:srgbClr val="800080"/>
              </a:solidFill>
              <a:latin typeface="Arial"/>
              <a:cs typeface="Arial"/>
            </a:rPr>
            <a:t>and calculated results will show in</a:t>
          </a:r>
          <a:r>
            <a:rPr lang="en-CA" sz="1000" b="0" i="0" u="none" strike="noStrike" baseline="0">
              <a:solidFill>
                <a:srgbClr val="000000"/>
              </a:solidFill>
              <a:latin typeface="Arial"/>
              <a:cs typeface="Arial"/>
            </a:rPr>
            <a:t> </a:t>
          </a:r>
          <a:r>
            <a:rPr lang="en-CA" sz="1000" b="1" i="0" u="none" strike="noStrike" baseline="0">
              <a:solidFill>
                <a:srgbClr val="0000FF"/>
              </a:solidFill>
              <a:latin typeface="Arial"/>
              <a:cs typeface="Arial"/>
            </a:rPr>
            <a:t>Blue fonts</a:t>
          </a:r>
          <a:r>
            <a:rPr lang="en-CA" sz="1000" b="0" i="0" u="none" strike="noStrike" baseline="0">
              <a:solidFill>
                <a:srgbClr val="000000"/>
              </a:solidFill>
              <a:latin typeface="Arial"/>
              <a:cs typeface="Arial"/>
            </a:rPr>
            <a:t>.</a:t>
          </a:r>
        </a:p>
        <a:p>
          <a:pPr algn="l" rtl="0">
            <a:defRPr sz="1000"/>
          </a:pPr>
          <a:r>
            <a:rPr lang="en-CA" sz="1000" b="0" i="0" u="none" strike="noStrike" baseline="0">
              <a:solidFill>
                <a:srgbClr val="800080"/>
              </a:solidFill>
              <a:latin typeface="Arial"/>
              <a:cs typeface="Arial"/>
            </a:rPr>
            <a:t>   Increase the </a:t>
          </a:r>
          <a:r>
            <a:rPr lang="en-CA" sz="1000" b="1" i="0" u="none" strike="noStrike" baseline="0">
              <a:solidFill>
                <a:srgbClr val="000000"/>
              </a:solidFill>
              <a:latin typeface="Arial"/>
              <a:cs typeface="Arial"/>
            </a:rPr>
            <a:t>Trial Addition g/L</a:t>
          </a:r>
          <a:r>
            <a:rPr lang="en-CA" sz="1000" b="0" i="0" u="none" strike="noStrike" baseline="0">
              <a:solidFill>
                <a:srgbClr val="800080"/>
              </a:solidFill>
              <a:latin typeface="Arial"/>
              <a:cs typeface="Arial"/>
            </a:rPr>
            <a:t> until the</a:t>
          </a:r>
          <a:r>
            <a:rPr lang="en-CA" sz="1000" b="1" i="0" u="none" strike="noStrike" baseline="0">
              <a:solidFill>
                <a:srgbClr val="0000FF"/>
              </a:solidFill>
              <a:latin typeface="Arial"/>
              <a:cs typeface="Arial"/>
            </a:rPr>
            <a:t> YAN ADDED BY NUTRIENTS </a:t>
          </a:r>
          <a:r>
            <a:rPr lang="en-CA" sz="1000" b="0" i="0" u="none" strike="noStrike" baseline="0">
              <a:solidFill>
                <a:srgbClr val="800080"/>
              </a:solidFill>
              <a:latin typeface="Arial"/>
              <a:cs typeface="Arial"/>
            </a:rPr>
            <a:t>matches the </a:t>
          </a:r>
          <a:r>
            <a:rPr lang="en-CA" sz="1000" b="1" i="0" u="none" strike="noStrike" baseline="0">
              <a:solidFill>
                <a:srgbClr val="0000FF"/>
              </a:solidFill>
              <a:latin typeface="Arial"/>
              <a:cs typeface="Arial"/>
            </a:rPr>
            <a:t>ADDITIONAL YAN REQUIRED</a:t>
          </a:r>
          <a:r>
            <a:rPr lang="en-CA" sz="1000" b="0" i="0" u="none" strike="noStrike" baseline="0">
              <a:solidFill>
                <a:srgbClr val="800080"/>
              </a:solidFill>
              <a:latin typeface="Arial"/>
              <a:cs typeface="Arial"/>
            </a:rPr>
            <a:t> figure.</a:t>
          </a:r>
        </a:p>
        <a:p>
          <a:pPr algn="l" rtl="0">
            <a:defRPr sz="1000"/>
          </a:pPr>
          <a:r>
            <a:rPr lang="en-CA" sz="1000" b="0" i="0" u="none" strike="noStrike" baseline="0">
              <a:solidFill>
                <a:srgbClr val="800080"/>
              </a:solidFill>
              <a:latin typeface="Arial"/>
              <a:cs typeface="Arial"/>
            </a:rPr>
            <a:t>Edit up to three distributions by assigning the % of each distribution.</a:t>
          </a:r>
        </a:p>
        <a:p>
          <a:pPr algn="l" rtl="0">
            <a:defRPr sz="1000"/>
          </a:pPr>
          <a:r>
            <a:rPr lang="en-CA" sz="1000" b="0" i="0" u="none" strike="noStrike" baseline="0">
              <a:solidFill>
                <a:srgbClr val="800080"/>
              </a:solidFill>
              <a:latin typeface="Arial"/>
              <a:cs typeface="Arial"/>
            </a:rPr>
            <a:t>    </a:t>
          </a:r>
          <a:r>
            <a:rPr lang="en-CA" sz="1000" b="1" i="0" u="none" strike="noStrike" baseline="0">
              <a:solidFill>
                <a:sysClr val="windowText" lastClr="000000"/>
              </a:solidFill>
              <a:latin typeface="Arial"/>
              <a:cs typeface="Arial"/>
            </a:rPr>
            <a:t>Minimize the amount of DAP. DO NOT Use DAD during the  lag phase of the fermentation. Use DAP to adjust  YAN only when it is very low and before alcohol approaches 10%. </a:t>
          </a:r>
        </a:p>
        <a:p>
          <a:pPr algn="l" rtl="0">
            <a:defRPr sz="1000"/>
          </a:pPr>
          <a:r>
            <a:rPr lang="en-CA" sz="1000" b="1" i="0" u="none" strike="noStrike" baseline="0">
              <a:solidFill>
                <a:sysClr val="windowText" lastClr="000000"/>
              </a:solidFill>
              <a:latin typeface="Arial"/>
              <a:cs typeface="Arial"/>
            </a:rPr>
            <a:t>   Only use GoFerm at rehydration and Fermaid O during the lag phase.</a:t>
          </a:r>
        </a:p>
        <a:p>
          <a:pPr algn="l" rtl="0">
            <a:defRPr sz="1000"/>
          </a:pPr>
          <a:r>
            <a:rPr lang="en-CA" sz="1000" b="0" i="0" u="none" strike="noStrike" baseline="0">
              <a:solidFill>
                <a:srgbClr val="800080"/>
              </a:solidFill>
              <a:latin typeface="Arial"/>
              <a:cs typeface="Arial"/>
            </a:rPr>
            <a:t>NOTE:—</a:t>
          </a:r>
          <a:r>
            <a:rPr lang="en-CA" sz="1000" b="1" i="0" u="none" strike="noStrike" baseline="0">
              <a:solidFill>
                <a:sysClr val="windowText" lastClr="000000"/>
              </a:solidFill>
              <a:latin typeface="Arial"/>
              <a:cs typeface="Arial"/>
            </a:rPr>
            <a:t>Spontaneous fermentation will consume all initial YAN. </a:t>
          </a:r>
          <a:r>
            <a:rPr lang="en-CA" sz="1000" b="1" i="0" u="none" strike="noStrike" baseline="0">
              <a:solidFill>
                <a:srgbClr val="800080"/>
              </a:solidFill>
              <a:latin typeface="Arial"/>
              <a:cs typeface="Arial"/>
            </a:rPr>
            <a:t>    </a:t>
          </a:r>
        </a:p>
        <a:p>
          <a:pPr algn="l" rtl="0">
            <a:defRPr sz="1000"/>
          </a:pPr>
          <a:r>
            <a:rPr lang="en-CA" sz="1000" b="1" i="0" u="none" strike="noStrike" baseline="0">
              <a:solidFill>
                <a:srgbClr val="000000"/>
              </a:solidFill>
              <a:latin typeface="Arial"/>
              <a:cs typeface="Arial"/>
            </a:rPr>
            <a:t>                      MUST DESCRIPTION</a:t>
          </a:r>
          <a:endParaRPr lang="en-CA" sz="1000" b="0" i="0" u="none" strike="noStrike" baseline="0">
            <a:solidFill>
              <a:srgbClr val="000000"/>
            </a:solidFill>
            <a:latin typeface="Arial"/>
            <a:cs typeface="Arial"/>
          </a:endParaRPr>
        </a:p>
        <a:p>
          <a:pPr algn="l" rtl="0">
            <a:defRPr sz="1000"/>
          </a:pPr>
          <a:r>
            <a:rPr lang="en-CA" sz="1000" b="0" i="0" u="none" strike="noStrike" baseline="0">
              <a:solidFill>
                <a:srgbClr val="000000"/>
              </a:solidFill>
              <a:latin typeface="Arial"/>
              <a:cs typeface="Arial"/>
            </a:rPr>
            <a:t>    For 22° Brix must minimum YAN for healthy growth is  ± 175 mgN/L</a:t>
          </a:r>
        </a:p>
        <a:p>
          <a:pPr algn="l" rtl="0">
            <a:defRPr sz="1000"/>
          </a:pPr>
          <a:r>
            <a:rPr lang="en-CA" sz="1000" b="0" i="0" u="none" strike="noStrike" baseline="0">
              <a:solidFill>
                <a:srgbClr val="800080"/>
              </a:solidFill>
              <a:latin typeface="Arial"/>
              <a:cs typeface="Arial"/>
            </a:rPr>
            <a:t>             </a:t>
          </a:r>
          <a:endParaRPr lang="en-CA" sz="1000" b="0" i="0" u="none" strike="noStrike" baseline="0">
            <a:solidFill>
              <a:srgbClr val="0000FF"/>
            </a:solidFill>
            <a:latin typeface="Arial"/>
            <a:cs typeface="Arial"/>
          </a:endParaRPr>
        </a:p>
        <a:p>
          <a:pPr algn="l" rtl="0">
            <a:defRPr sz="1000"/>
          </a:pPr>
          <a:r>
            <a:rPr lang="en-CA" sz="1000" b="0" i="0" u="none" strike="noStrike" baseline="0">
              <a:solidFill>
                <a:srgbClr val="0000FF"/>
              </a:solidFill>
              <a:latin typeface="Arial"/>
              <a:cs typeface="Arial"/>
            </a:rPr>
            <a:t>             </a:t>
          </a:r>
        </a:p>
      </xdr:txBody>
    </xdr:sp>
    <xdr:clientData/>
  </xdr:twoCellAnchor>
  <mc:AlternateContent xmlns:mc="http://schemas.openxmlformats.org/markup-compatibility/2006">
    <mc:Choice xmlns:a14="http://schemas.microsoft.com/office/drawing/2010/main" Requires="a14">
      <xdr:twoCellAnchor editAs="oneCell">
        <xdr:from>
          <xdr:col>0</xdr:col>
          <xdr:colOff>9525</xdr:colOff>
          <xdr:row>31</xdr:row>
          <xdr:rowOff>9525</xdr:rowOff>
        </xdr:from>
        <xdr:to>
          <xdr:col>1</xdr:col>
          <xdr:colOff>0</xdr:colOff>
          <xdr:row>31</xdr:row>
          <xdr:rowOff>209550</xdr:rowOff>
        </xdr:to>
        <xdr:sp macro="" textlink="">
          <xdr:nvSpPr>
            <xdr:cNvPr id="6145" name="Drop Down 1" hidden="1">
              <a:extLst>
                <a:ext uri="{63B3BB69-23CF-44E3-9099-C40C66FF867C}">
                  <a14:compatExt spid="_x0000_s614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twoCellAnchor>
    <xdr:from>
      <xdr:col>6</xdr:col>
      <xdr:colOff>28575</xdr:colOff>
      <xdr:row>99</xdr:row>
      <xdr:rowOff>123826</xdr:rowOff>
    </xdr:from>
    <xdr:to>
      <xdr:col>11</xdr:col>
      <xdr:colOff>9525</xdr:colOff>
      <xdr:row>106</xdr:row>
      <xdr:rowOff>247651</xdr:rowOff>
    </xdr:to>
    <xdr:sp macro="" textlink="">
      <xdr:nvSpPr>
        <xdr:cNvPr id="4" name="Text Box 54"/>
        <xdr:cNvSpPr txBox="1">
          <a:spLocks noChangeArrowheads="1"/>
        </xdr:cNvSpPr>
      </xdr:nvSpPr>
      <xdr:spPr bwMode="auto">
        <a:xfrm>
          <a:off x="4838700" y="22945726"/>
          <a:ext cx="4343400" cy="23241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CA" sz="1200" b="1" i="0" u="none" strike="noStrike" baseline="0">
              <a:solidFill>
                <a:srgbClr val="000000"/>
              </a:solidFill>
              <a:latin typeface="Arial"/>
              <a:cs typeface="Arial"/>
            </a:rPr>
            <a:t>                  Yeast Rehydration Notes</a:t>
          </a:r>
          <a:endParaRPr lang="en-CA" sz="1200" b="0" i="0" u="none" strike="noStrike" baseline="0">
            <a:solidFill>
              <a:srgbClr val="000000"/>
            </a:solidFill>
            <a:latin typeface="Arial"/>
            <a:cs typeface="Arial"/>
          </a:endParaRPr>
        </a:p>
        <a:p>
          <a:pPr algn="l" rtl="0">
            <a:defRPr sz="1000"/>
          </a:pPr>
          <a:r>
            <a:rPr lang="en-CA" sz="1000" b="0" i="0" u="none" strike="noStrike" baseline="0">
              <a:solidFill>
                <a:srgbClr val="000000"/>
              </a:solidFill>
              <a:latin typeface="Arial"/>
              <a:cs typeface="Arial"/>
            </a:rPr>
            <a:t>    Dissolve </a:t>
          </a:r>
          <a:r>
            <a:rPr lang="en-CA" sz="1000" b="1" i="0" u="none" strike="noStrike" baseline="0">
              <a:solidFill>
                <a:srgbClr val="000000"/>
              </a:solidFill>
              <a:latin typeface="Arial"/>
              <a:cs typeface="Arial"/>
            </a:rPr>
            <a:t>GoFerm</a:t>
          </a:r>
          <a:r>
            <a:rPr lang="en-CA" sz="1000" b="0" i="0" u="none" strike="noStrike" baseline="0">
              <a:solidFill>
                <a:srgbClr val="000000"/>
              </a:solidFill>
              <a:latin typeface="Arial"/>
              <a:cs typeface="Arial"/>
            </a:rPr>
            <a:t> in a volume of water 20 times it's weight </a:t>
          </a:r>
          <a:r>
            <a:rPr lang="en-CA" sz="1000" b="1" i="0" u="none" strike="noStrike" baseline="0">
              <a:solidFill>
                <a:srgbClr val="000000"/>
              </a:solidFill>
              <a:latin typeface="Arial"/>
              <a:cs typeface="Arial"/>
            </a:rPr>
            <a:t>at 43°C (110°F</a:t>
          </a:r>
          <a:r>
            <a:rPr lang="en-CA" sz="1000" b="0" i="0" u="none" strike="noStrike" baseline="0">
              <a:solidFill>
                <a:srgbClr val="000000"/>
              </a:solidFill>
              <a:latin typeface="Arial"/>
              <a:cs typeface="Arial"/>
            </a:rPr>
            <a:t>). </a:t>
          </a:r>
          <a:r>
            <a:rPr lang="en-CA" sz="1000" b="1" i="0" u="none" strike="noStrike" baseline="0">
              <a:solidFill>
                <a:srgbClr val="000000"/>
              </a:solidFill>
              <a:latin typeface="Arial"/>
              <a:cs typeface="Arial"/>
            </a:rPr>
            <a:t>Allow to cool below 40°C (104°F) before adding yeast.</a:t>
          </a:r>
          <a:r>
            <a:rPr lang="en-CA" sz="1000" b="0" i="0" u="none" strike="noStrike" baseline="0">
              <a:solidFill>
                <a:srgbClr val="000000"/>
              </a:solidFill>
              <a:latin typeface="Arial"/>
              <a:cs typeface="Arial"/>
            </a:rPr>
            <a:t> Allow yeast to absorb water and stir gently to break up any clumps. Let mixture stand for 15 to 25 minutes. Then gently stir in an equal amount of must over a 5 minute period. Bring the inoculants temperature down very gradually to less than </a:t>
          </a:r>
          <a:r>
            <a:rPr lang="en-CA" sz="1000" b="1" i="0" u="none" strike="noStrike" baseline="0">
              <a:solidFill>
                <a:srgbClr val="000000"/>
              </a:solidFill>
              <a:latin typeface="Arial"/>
              <a:cs typeface="Arial"/>
            </a:rPr>
            <a:t>10°C</a:t>
          </a:r>
          <a:r>
            <a:rPr lang="en-CA" sz="1000" b="0" i="0" u="none" strike="noStrike" baseline="0">
              <a:solidFill>
                <a:srgbClr val="000000"/>
              </a:solidFill>
              <a:latin typeface="Arial"/>
              <a:cs typeface="Arial"/>
            </a:rPr>
            <a:t> difference. Then add the inoculant to the must on the surface and around the edges. After 15 minutes mix in thoroughly.</a:t>
          </a:r>
        </a:p>
        <a:p>
          <a:pPr algn="l" rtl="0">
            <a:defRPr sz="1000"/>
          </a:pPr>
          <a:r>
            <a:rPr lang="en-CA" sz="1000" b="0" i="0" u="none" strike="noStrike" baseline="0">
              <a:solidFill>
                <a:srgbClr val="000000"/>
              </a:solidFill>
              <a:latin typeface="Arial"/>
              <a:cs typeface="Arial"/>
            </a:rPr>
            <a:t> </a:t>
          </a:r>
        </a:p>
        <a:p>
          <a:pPr algn="l" rtl="0">
            <a:defRPr sz="1000"/>
          </a:pPr>
          <a:r>
            <a:rPr lang="en-CA" sz="1000" b="1" i="0" u="none" strike="noStrike" baseline="0">
              <a:solidFill>
                <a:srgbClr val="000000"/>
              </a:solidFill>
              <a:latin typeface="Arial"/>
              <a:cs typeface="Arial"/>
            </a:rPr>
            <a:t>                                       </a:t>
          </a:r>
          <a:r>
            <a:rPr lang="en-CA" sz="1200" b="1" i="0" u="none" strike="noStrike" baseline="0">
              <a:solidFill>
                <a:srgbClr val="000000"/>
              </a:solidFill>
              <a:latin typeface="Arial"/>
              <a:cs typeface="Arial"/>
            </a:rPr>
            <a:t>NOTE</a:t>
          </a:r>
          <a:r>
            <a:rPr lang="en-CA" sz="1000" b="1" i="0" u="none" strike="noStrike" baseline="0">
              <a:solidFill>
                <a:srgbClr val="000000"/>
              </a:solidFill>
              <a:latin typeface="Arial"/>
              <a:cs typeface="Arial"/>
            </a:rPr>
            <a:t> </a:t>
          </a:r>
        </a:p>
        <a:p>
          <a:pPr algn="l" rtl="0">
            <a:defRPr sz="1000"/>
          </a:pPr>
          <a:r>
            <a:rPr lang="en-CA" sz="1000" b="1" i="0" u="none" strike="noStrike" baseline="0">
              <a:solidFill>
                <a:srgbClr val="000000"/>
              </a:solidFill>
              <a:latin typeface="Arial"/>
              <a:cs typeface="Arial"/>
            </a:rPr>
            <a:t>    Do not use distilled water and only use GoFerm </a:t>
          </a:r>
        </a:p>
        <a:p>
          <a:pPr algn="l" rtl="0">
            <a:defRPr sz="1000"/>
          </a:pPr>
          <a:r>
            <a:rPr lang="en-CA" sz="1000" b="1" i="0" baseline="0">
              <a:effectLst/>
              <a:latin typeface="Arial" panose="020B0604020202020204" pitchFamily="34" charset="0"/>
              <a:ea typeface="+mn-ea"/>
              <a:cs typeface="Arial" panose="020B0604020202020204" pitchFamily="34" charset="0"/>
            </a:rPr>
            <a:t>NOT DAP, Fermaid K or Superfood.</a:t>
          </a:r>
          <a:endParaRPr lang="en-CA" sz="1000">
            <a:effectLst/>
            <a:latin typeface="Arial" panose="020B0604020202020204" pitchFamily="34" charset="0"/>
            <a:cs typeface="Arial" panose="020B0604020202020204" pitchFamily="34" charset="0"/>
          </a:endParaRPr>
        </a:p>
        <a:p>
          <a:pPr algn="l" rtl="0">
            <a:defRPr sz="1000"/>
          </a:pPr>
          <a:r>
            <a:rPr lang="en-CA" sz="1000" b="1" i="0" u="none" strike="noStrike" baseline="0">
              <a:solidFill>
                <a:srgbClr val="000000"/>
              </a:solidFill>
              <a:latin typeface="Arial"/>
              <a:cs typeface="Arial"/>
            </a:rPr>
            <a:t>          </a:t>
          </a:r>
        </a:p>
        <a:p>
          <a:pPr algn="l" rtl="0">
            <a:defRPr sz="1000"/>
          </a:pPr>
          <a:r>
            <a:rPr lang="en-CA" sz="1000" b="0" i="0" u="none" strike="noStrike" baseline="0">
              <a:solidFill>
                <a:srgbClr val="000000"/>
              </a:solidFill>
              <a:latin typeface="Arial"/>
              <a:cs typeface="Arial"/>
            </a:rPr>
            <a:t> </a:t>
          </a: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r>
            <a:rPr lang="en-CA" sz="1000" b="0" i="0" u="none" strike="noStrike" baseline="0">
              <a:solidFill>
                <a:srgbClr val="000000"/>
              </a:solidFill>
              <a:latin typeface="Arial"/>
              <a:cs typeface="Arial"/>
            </a:rPr>
            <a:t>..</a:t>
          </a: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r>
            <a:rPr lang="en-CA" sz="1000" b="0" i="0" u="none" strike="noStrike" baseline="0">
              <a:solidFill>
                <a:srgbClr val="000000"/>
              </a:solidFill>
              <a:latin typeface="Arial"/>
              <a:cs typeface="Arial"/>
            </a:rPr>
            <a:t>000</a:t>
          </a: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r>
            <a:rPr lang="en-CA" sz="1000" b="0" i="0" u="none" strike="noStrike" baseline="0">
              <a:solidFill>
                <a:srgbClr val="000000"/>
              </a:solidFill>
              <a:latin typeface="Arial"/>
              <a:cs typeface="Arial"/>
            </a:rPr>
            <a:t>00.</a:t>
          </a: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r>
            <a:rPr lang="en-CA" sz="1000" b="0" i="0" u="none" strike="noStrike" baseline="0">
              <a:solidFill>
                <a:srgbClr val="000000"/>
              </a:solidFill>
              <a:latin typeface="Arial"/>
              <a:cs typeface="Arial"/>
            </a:rPr>
            <a:t>0.</a:t>
          </a:r>
        </a:p>
        <a:p>
          <a:pPr algn="l" rtl="0">
            <a:defRPr sz="1000"/>
          </a:pPr>
          <a:r>
            <a:rPr lang="en-CA" sz="1000" b="0" i="0" u="none" strike="noStrike" baseline="0">
              <a:solidFill>
                <a:srgbClr val="000000"/>
              </a:solidFill>
              <a:latin typeface="Arial"/>
              <a:cs typeface="Arial"/>
            </a:rPr>
            <a:t>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a:t>
          </a:r>
        </a:p>
        <a:p>
          <a:pPr algn="l" rtl="0">
            <a:defRPr sz="1000"/>
          </a:pPr>
          <a:r>
            <a:rPr lang="en-CA" sz="1000" b="0" i="0" u="none" strike="noStrike" baseline="0">
              <a:solidFill>
                <a:srgbClr val="000000"/>
              </a:solidFill>
              <a:latin typeface="Arial"/>
              <a:cs typeface="Arial"/>
            </a:rPr>
            <a:t>00000000000000000000000000000000000000000000000000000000000000000000000000000000000000000000000000000000000000000000000000000000000000000000000000000000000000000000000000000000000000000000000000000000000.</a:t>
          </a: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endParaRPr lang="en-CA" sz="1000" b="0" i="0" u="none" strike="noStrike" baseline="0">
            <a:solidFill>
              <a:srgbClr val="000000"/>
            </a:solidFill>
            <a:latin typeface="Arial"/>
            <a:cs typeface="Arial"/>
          </a:endParaRPr>
        </a:p>
        <a:p>
          <a:pPr algn="l" rtl="0">
            <a:defRPr sz="1000"/>
          </a:pPr>
          <a:r>
            <a:rPr lang="en-CA" sz="1000" b="0" i="0" u="none" strike="noStrike" baseline="0">
              <a:solidFill>
                <a:srgbClr val="000000"/>
              </a:solidFill>
              <a:latin typeface="Arial"/>
              <a:cs typeface="Arial"/>
            </a:rPr>
            <a:t>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 30 minutes and then stir in an equal amount of must over a 5 minute period. Keep adding must until temperature is well within 10 °C of the must. The inoculate can be immersed in the must until temperatures have balanced. </a:t>
          </a:r>
        </a:p>
      </xdr:txBody>
    </xdr:sp>
    <xdr:clientData/>
  </xdr:twoCellAnchor>
  <xdr:twoCellAnchor>
    <xdr:from>
      <xdr:col>12</xdr:col>
      <xdr:colOff>304800</xdr:colOff>
      <xdr:row>2</xdr:row>
      <xdr:rowOff>76201</xdr:rowOff>
    </xdr:from>
    <xdr:to>
      <xdr:col>20</xdr:col>
      <xdr:colOff>400050</xdr:colOff>
      <xdr:row>23</xdr:row>
      <xdr:rowOff>123825</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0</xdr:col>
          <xdr:colOff>19050</xdr:colOff>
          <xdr:row>25</xdr:row>
          <xdr:rowOff>9525</xdr:rowOff>
        </xdr:from>
        <xdr:to>
          <xdr:col>1</xdr:col>
          <xdr:colOff>0</xdr:colOff>
          <xdr:row>25</xdr:row>
          <xdr:rowOff>219075</xdr:rowOff>
        </xdr:to>
        <xdr:sp macro="" textlink="">
          <xdr:nvSpPr>
            <xdr:cNvPr id="6146" name="Drop Down 2" hidden="1">
              <a:extLst>
                <a:ext uri="{63B3BB69-23CF-44E3-9099-C40C66FF867C}">
                  <a14:compatExt spid="_x0000_s614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twoCellAnchor>
    <xdr:from>
      <xdr:col>12</xdr:col>
      <xdr:colOff>295275</xdr:colOff>
      <xdr:row>24</xdr:row>
      <xdr:rowOff>89647</xdr:rowOff>
    </xdr:from>
    <xdr:to>
      <xdr:col>20</xdr:col>
      <xdr:colOff>403412</xdr:colOff>
      <xdr:row>38</xdr:row>
      <xdr:rowOff>123264</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A152"/>
  <sheetViews>
    <sheetView showGridLines="0" tabSelected="1" showWhiteSpace="0" zoomScale="85" zoomScaleNormal="85" workbookViewId="0">
      <selection activeCell="B26" sqref="B26"/>
    </sheetView>
  </sheetViews>
  <sheetFormatPr defaultRowHeight="12.75" outlineLevelRow="1" outlineLevelCol="1" x14ac:dyDescent="0.2"/>
  <cols>
    <col min="1" max="1" width="15.28515625" customWidth="1"/>
    <col min="2" max="2" width="15.85546875" customWidth="1"/>
    <col min="3" max="3" width="11.5703125" customWidth="1"/>
    <col min="4" max="4" width="12.42578125" customWidth="1"/>
    <col min="5" max="5" width="3.5703125" customWidth="1"/>
    <col min="6" max="6" width="14" customWidth="1"/>
    <col min="7" max="7" width="12.7109375" customWidth="1"/>
    <col min="8" max="8" width="12.85546875" customWidth="1"/>
    <col min="9" max="9" width="15.140625" customWidth="1"/>
    <col min="10" max="10" width="13.28515625" customWidth="1"/>
    <col min="11" max="11" width="11.5703125" customWidth="1"/>
    <col min="12" max="12" width="3.7109375" customWidth="1"/>
    <col min="13" max="13" width="7" hidden="1" customWidth="1" outlineLevel="1"/>
    <col min="14" max="14" width="8.5703125" hidden="1" customWidth="1" outlineLevel="1"/>
    <col min="15" max="15" width="16" hidden="1" customWidth="1" outlineLevel="1"/>
    <col min="16" max="16" width="12.7109375" hidden="1" customWidth="1" outlineLevel="1"/>
    <col min="17" max="17" width="6.42578125" hidden="1" customWidth="1" outlineLevel="1"/>
    <col min="18" max="18" width="7.140625" hidden="1" customWidth="1" outlineLevel="1"/>
    <col min="19" max="19" width="10" hidden="1" customWidth="1" outlineLevel="1"/>
    <col min="20" max="20" width="6.5703125" hidden="1" customWidth="1" outlineLevel="1"/>
    <col min="21" max="21" width="12.42578125" hidden="1" customWidth="1" outlineLevel="1"/>
    <col min="22" max="22" width="11.7109375" hidden="1" customWidth="1" outlineLevel="1"/>
    <col min="23" max="23" width="7.7109375" hidden="1" customWidth="1" outlineLevel="1"/>
    <col min="24" max="24" width="10" hidden="1" customWidth="1" outlineLevel="1"/>
    <col min="25" max="25" width="9.140625" customWidth="1" collapsed="1"/>
  </cols>
  <sheetData>
    <row r="1" spans="1:24" ht="22.5" customHeight="1" x14ac:dyDescent="0.2">
      <c r="A1" s="352" t="s">
        <v>131</v>
      </c>
      <c r="B1" s="352"/>
      <c r="C1" s="352"/>
      <c r="D1" s="352"/>
      <c r="E1" s="352"/>
      <c r="F1" s="352"/>
      <c r="G1" s="354" t="s">
        <v>0</v>
      </c>
      <c r="H1" s="354"/>
      <c r="I1" s="341"/>
      <c r="J1" s="311"/>
      <c r="K1" s="342"/>
      <c r="L1" s="1"/>
    </row>
    <row r="2" spans="1:24" ht="16.5" customHeight="1" x14ac:dyDescent="0.25">
      <c r="A2" s="346" t="s">
        <v>224</v>
      </c>
      <c r="B2" s="343" t="s">
        <v>227</v>
      </c>
      <c r="C2" s="70"/>
      <c r="D2" s="70"/>
      <c r="E2" s="353" t="s">
        <v>232</v>
      </c>
      <c r="F2" s="353"/>
      <c r="G2" s="71">
        <v>42291</v>
      </c>
      <c r="H2" s="70"/>
      <c r="I2" s="344" t="s">
        <v>127</v>
      </c>
      <c r="J2" s="344"/>
      <c r="K2" s="345">
        <v>2015</v>
      </c>
      <c r="L2" s="1"/>
    </row>
    <row r="3" spans="1:24" ht="8.25" customHeight="1" x14ac:dyDescent="0.25">
      <c r="A3" s="2"/>
      <c r="D3" s="85"/>
      <c r="E3" s="85"/>
      <c r="J3" s="4"/>
      <c r="K3" s="4"/>
    </row>
    <row r="4" spans="1:24" ht="12" customHeight="1" outlineLevel="1" x14ac:dyDescent="0.2">
      <c r="A4" s="86"/>
      <c r="B4" s="86"/>
      <c r="C4" s="86"/>
      <c r="D4" s="87"/>
      <c r="E4" s="87"/>
      <c r="F4" s="88"/>
      <c r="G4" s="88"/>
      <c r="H4" s="88"/>
      <c r="I4" s="88"/>
      <c r="J4" s="89"/>
      <c r="K4" s="90"/>
    </row>
    <row r="5" spans="1:24" ht="10.5" customHeight="1" outlineLevel="1" x14ac:dyDescent="0.2">
      <c r="A5" s="373" t="s">
        <v>132</v>
      </c>
      <c r="B5" s="373"/>
      <c r="C5" s="373"/>
      <c r="D5" s="373"/>
      <c r="E5" s="373"/>
      <c r="F5" s="373"/>
      <c r="G5" s="373"/>
      <c r="H5" s="373"/>
      <c r="I5" s="373"/>
      <c r="J5" s="373"/>
      <c r="K5" s="373"/>
      <c r="L5" s="373"/>
    </row>
    <row r="6" spans="1:24" ht="20.25" customHeight="1" outlineLevel="1" thickBot="1" x14ac:dyDescent="0.3">
      <c r="A6" s="19" t="s">
        <v>223</v>
      </c>
      <c r="B6" s="325"/>
      <c r="F6" s="91"/>
      <c r="J6" s="4"/>
      <c r="K6" s="4"/>
    </row>
    <row r="7" spans="1:24" ht="17.25" customHeight="1" outlineLevel="1" thickBot="1" x14ac:dyDescent="0.3">
      <c r="A7" s="144"/>
      <c r="B7" s="374" t="s">
        <v>133</v>
      </c>
      <c r="C7" s="375"/>
      <c r="D7" s="376" t="s">
        <v>134</v>
      </c>
      <c r="E7" s="375"/>
      <c r="F7" s="377"/>
      <c r="H7" s="378" t="s">
        <v>135</v>
      </c>
      <c r="I7" s="378"/>
      <c r="J7" s="378"/>
      <c r="K7" s="4"/>
      <c r="W7" s="5" t="s">
        <v>151</v>
      </c>
      <c r="X7" s="5" t="s">
        <v>1</v>
      </c>
    </row>
    <row r="8" spans="1:24" ht="40.5" customHeight="1" outlineLevel="1" x14ac:dyDescent="0.25">
      <c r="A8" s="178" t="s">
        <v>136</v>
      </c>
      <c r="B8" s="92" t="s">
        <v>138</v>
      </c>
      <c r="C8" s="93" t="s">
        <v>137</v>
      </c>
      <c r="D8" s="390" t="s">
        <v>138</v>
      </c>
      <c r="E8" s="391"/>
      <c r="F8" s="179" t="s">
        <v>139</v>
      </c>
      <c r="G8" s="3"/>
      <c r="H8" s="178" t="s">
        <v>230</v>
      </c>
      <c r="I8" s="180" t="s">
        <v>229</v>
      </c>
      <c r="J8" s="181" t="s">
        <v>140</v>
      </c>
      <c r="K8" s="4"/>
      <c r="W8" s="6">
        <v>22</v>
      </c>
      <c r="X8" s="7">
        <v>0.25</v>
      </c>
    </row>
    <row r="9" spans="1:24" ht="15" customHeight="1" outlineLevel="1" x14ac:dyDescent="0.25">
      <c r="A9" s="289" t="s">
        <v>185</v>
      </c>
      <c r="B9" s="290">
        <v>6</v>
      </c>
      <c r="C9" s="291">
        <f>IF(B9="","",(0.0014*(B9/10)^2)-(0.6583*(B9/10))+25.566)</f>
        <v>25.171523999999998</v>
      </c>
      <c r="D9" s="292">
        <v>169</v>
      </c>
      <c r="E9" s="293"/>
      <c r="F9" s="294">
        <f>IF(D9="","",(0.0014*(D9/10)^2)-(0.6583*(D9/10))+25.566)</f>
        <v>14.840584</v>
      </c>
      <c r="H9" s="304">
        <v>49.65</v>
      </c>
      <c r="I9" s="305">
        <v>3.4</v>
      </c>
      <c r="J9" s="262">
        <f>H9-I9</f>
        <v>46.25</v>
      </c>
      <c r="K9" s="4"/>
      <c r="W9" s="11">
        <v>23</v>
      </c>
      <c r="X9" s="11">
        <v>0.26</v>
      </c>
    </row>
    <row r="10" spans="1:24" ht="15" customHeight="1" outlineLevel="1" x14ac:dyDescent="0.25">
      <c r="A10" s="295" t="s">
        <v>186</v>
      </c>
      <c r="B10" s="290"/>
      <c r="C10" s="291" t="str">
        <f>IF(B10="","",(0.0014*(B10/10)^2)-(0.6583*(B10/10))+25.566)</f>
        <v/>
      </c>
      <c r="D10" s="292"/>
      <c r="E10" s="296"/>
      <c r="F10" s="294" t="str">
        <f>IF(D10="","",(0.0014*(D10/10)^2)-(0.6583*(D10/10))+25.566)</f>
        <v/>
      </c>
      <c r="H10" s="304"/>
      <c r="I10" s="306"/>
      <c r="J10" s="262">
        <f>H10-I10</f>
        <v>0</v>
      </c>
      <c r="K10" s="4"/>
      <c r="W10" s="14">
        <v>24</v>
      </c>
      <c r="X10" s="15">
        <v>0.27500000000000002</v>
      </c>
    </row>
    <row r="11" spans="1:24" ht="15" customHeight="1" outlineLevel="1" x14ac:dyDescent="0.25">
      <c r="A11" s="289" t="s">
        <v>183</v>
      </c>
      <c r="B11" s="290"/>
      <c r="C11" s="291" t="str">
        <f>IF(B11="","",(0.0014*(B11/10)^2)-(0.6583*(B11/10))+25.566)</f>
        <v/>
      </c>
      <c r="D11" s="292"/>
      <c r="E11" s="296"/>
      <c r="F11" s="294" t="str">
        <f>IF(D11="","",(0.0014*(D11/10)^2)-(0.6583*(D11/10))+25.566)</f>
        <v/>
      </c>
      <c r="H11" s="304"/>
      <c r="I11" s="306"/>
      <c r="J11" s="262">
        <f>H11-I11</f>
        <v>0</v>
      </c>
      <c r="K11" s="4"/>
      <c r="W11" s="11">
        <v>25</v>
      </c>
      <c r="X11" s="15">
        <v>0.28999999999999998</v>
      </c>
    </row>
    <row r="12" spans="1:24" ht="15" customHeight="1" outlineLevel="1" thickBot="1" x14ac:dyDescent="0.3">
      <c r="A12" s="297" t="s">
        <v>184</v>
      </c>
      <c r="B12" s="290"/>
      <c r="C12" s="298" t="str">
        <f>IF(B12="","",(0.0014*(B12/10)^2)-(0.6583*(B12/10))+25.566)</f>
        <v/>
      </c>
      <c r="D12" s="292"/>
      <c r="E12" s="296"/>
      <c r="F12" s="299" t="str">
        <f>IF(D12="","",(0.0014*(D12/10)^2)-(0.6583*(D12/10))+25.566)</f>
        <v/>
      </c>
      <c r="H12" s="307"/>
      <c r="I12" s="308"/>
      <c r="J12" s="299">
        <f>H12-I12</f>
        <v>0</v>
      </c>
      <c r="K12" s="4"/>
      <c r="W12" s="11">
        <v>27</v>
      </c>
      <c r="X12" s="15">
        <v>0.33500000000000002</v>
      </c>
    </row>
    <row r="13" spans="1:24" ht="16.5" customHeight="1" outlineLevel="1" thickBot="1" x14ac:dyDescent="0.3">
      <c r="A13" s="300"/>
      <c r="B13" s="301" t="s">
        <v>141</v>
      </c>
      <c r="C13" s="302">
        <f>SUM(C9:C12)</f>
        <v>25.171523999999998</v>
      </c>
      <c r="D13" s="392" t="s">
        <v>141</v>
      </c>
      <c r="E13" s="393"/>
      <c r="F13" s="303">
        <f>SUM(F9:F12)</f>
        <v>14.840584</v>
      </c>
      <c r="G13" s="13"/>
      <c r="H13" s="309"/>
      <c r="I13" s="310" t="s">
        <v>142</v>
      </c>
      <c r="J13" s="303">
        <f>SUM(J9:J12)</f>
        <v>46.25</v>
      </c>
      <c r="K13" s="4"/>
      <c r="W13" s="11">
        <v>29</v>
      </c>
      <c r="X13" s="15">
        <v>0.38700000000000001</v>
      </c>
    </row>
    <row r="14" spans="1:24" ht="12.75" customHeight="1" x14ac:dyDescent="0.25">
      <c r="A14" s="47"/>
      <c r="B14" s="26"/>
      <c r="C14" s="16"/>
      <c r="D14" s="26"/>
      <c r="E14" s="26"/>
      <c r="F14" s="26"/>
      <c r="G14" s="58"/>
      <c r="H14" s="13"/>
      <c r="J14" s="4"/>
      <c r="K14" s="4"/>
      <c r="W14" s="14">
        <v>30</v>
      </c>
      <c r="X14" s="15">
        <v>0.41</v>
      </c>
    </row>
    <row r="15" spans="1:24" ht="12.75" customHeight="1" outlineLevel="1" thickBot="1" x14ac:dyDescent="0.3">
      <c r="A15" s="394" t="s">
        <v>143</v>
      </c>
      <c r="B15" s="394"/>
      <c r="C15" s="394"/>
      <c r="D15" s="394"/>
      <c r="E15" s="151"/>
      <c r="F15" s="20"/>
      <c r="G15" s="395" t="s">
        <v>182</v>
      </c>
      <c r="H15" s="395"/>
      <c r="I15" s="395"/>
      <c r="J15" s="395"/>
      <c r="K15" s="395"/>
      <c r="N15" s="13"/>
      <c r="W15" s="21">
        <v>31</v>
      </c>
      <c r="X15" s="22">
        <v>0.44500000000000001</v>
      </c>
    </row>
    <row r="16" spans="1:24" ht="27" customHeight="1" outlineLevel="1" x14ac:dyDescent="0.2">
      <c r="A16" s="95" t="s">
        <v>144</v>
      </c>
      <c r="B16" s="96" t="s">
        <v>145</v>
      </c>
      <c r="C16" s="96" t="s">
        <v>146</v>
      </c>
      <c r="D16" s="97" t="s">
        <v>147</v>
      </c>
      <c r="E16" s="195"/>
      <c r="G16" s="156" t="s">
        <v>6</v>
      </c>
      <c r="H16" s="155" t="s">
        <v>7</v>
      </c>
      <c r="I16" s="155" t="s">
        <v>8</v>
      </c>
      <c r="J16" s="155" t="s">
        <v>9</v>
      </c>
      <c r="K16" s="189" t="s">
        <v>10</v>
      </c>
      <c r="L16" s="10"/>
      <c r="S16" s="13"/>
      <c r="T16" s="13"/>
      <c r="U16" s="18"/>
    </row>
    <row r="17" spans="1:24" ht="15" customHeight="1" outlineLevel="1" thickBot="1" x14ac:dyDescent="0.25">
      <c r="A17" s="279"/>
      <c r="B17" s="280"/>
      <c r="C17" s="280"/>
      <c r="D17" s="281">
        <f>(C17-B17)*0.033*A17</f>
        <v>0</v>
      </c>
      <c r="E17" s="196"/>
      <c r="F17" s="26" t="s">
        <v>13</v>
      </c>
      <c r="G17" s="266">
        <v>14</v>
      </c>
      <c r="H17" s="267">
        <v>24.9</v>
      </c>
      <c r="I17" s="267">
        <v>5.8</v>
      </c>
      <c r="J17" s="268">
        <v>4.08</v>
      </c>
      <c r="K17" s="269">
        <v>81</v>
      </c>
      <c r="L17" s="10"/>
      <c r="T17" s="13"/>
      <c r="U17" s="18"/>
    </row>
    <row r="18" spans="1:24" ht="15" customHeight="1" outlineLevel="1" thickBot="1" x14ac:dyDescent="0.25">
      <c r="A18" s="282"/>
      <c r="B18" s="283"/>
      <c r="C18" s="284"/>
      <c r="D18" s="285"/>
      <c r="E18" s="196"/>
      <c r="F18" s="26" t="s">
        <v>16</v>
      </c>
      <c r="G18" s="270">
        <v>0.6</v>
      </c>
      <c r="H18" s="271">
        <v>0</v>
      </c>
      <c r="I18" s="272"/>
      <c r="J18" s="273"/>
      <c r="K18" s="274">
        <v>0</v>
      </c>
      <c r="L18" s="10"/>
      <c r="T18" s="13"/>
      <c r="U18" s="18"/>
    </row>
    <row r="19" spans="1:24" ht="15" customHeight="1" outlineLevel="1" thickBot="1" x14ac:dyDescent="0.25">
      <c r="A19" s="286"/>
      <c r="B19" s="287"/>
      <c r="C19" s="287"/>
      <c r="D19" s="288">
        <f>(C19-B19)*A19/(100-C19)</f>
        <v>0</v>
      </c>
      <c r="E19" s="196"/>
      <c r="F19" s="26" t="s">
        <v>17</v>
      </c>
      <c r="G19" s="275">
        <f>IF(G17="","",SUM(G17:G18))</f>
        <v>14.6</v>
      </c>
      <c r="H19" s="276">
        <f>IF(H17="","",(G17*H17+G18*H18)/G19)</f>
        <v>23.876712328767123</v>
      </c>
      <c r="I19" s="276">
        <f>IF(I17="","",(G17*I17+G18*I18)/G19)</f>
        <v>5.5616438356164384</v>
      </c>
      <c r="J19" s="277">
        <f>IF(J17="","",-LOG((G17*10^-J17+G18*10^-J18)/G19))</f>
        <v>1.3853595512877761</v>
      </c>
      <c r="K19" s="278">
        <f>IF(K17="","",(G17*K17+G18*K18)/G19)</f>
        <v>77.671232876712324</v>
      </c>
      <c r="L19" s="10"/>
      <c r="O19" s="13"/>
      <c r="S19" s="13"/>
      <c r="T19" s="13"/>
      <c r="U19" s="18"/>
    </row>
    <row r="20" spans="1:24" ht="22.5" customHeight="1" outlineLevel="1" thickBot="1" x14ac:dyDescent="0.25">
      <c r="A20" s="98" t="s">
        <v>148</v>
      </c>
      <c r="B20" s="99" t="s">
        <v>145</v>
      </c>
      <c r="C20" s="99" t="s">
        <v>146</v>
      </c>
      <c r="D20" s="100" t="s">
        <v>147</v>
      </c>
      <c r="E20" s="195"/>
      <c r="F20" s="26"/>
      <c r="G20" s="101"/>
      <c r="H20" s="101"/>
      <c r="I20" s="101"/>
      <c r="J20" s="101"/>
      <c r="K20" s="101"/>
      <c r="L20" s="10"/>
      <c r="O20" s="13"/>
      <c r="S20" s="13"/>
      <c r="T20" s="13"/>
      <c r="U20" s="18"/>
    </row>
    <row r="21" spans="1:24" ht="12.75" customHeight="1" x14ac:dyDescent="0.2">
      <c r="A21" s="58"/>
      <c r="B21" s="102"/>
      <c r="C21" s="102"/>
      <c r="D21" s="102"/>
      <c r="E21" s="102"/>
      <c r="F21" s="26"/>
      <c r="G21" s="101"/>
      <c r="H21" s="101"/>
      <c r="I21" s="101"/>
      <c r="J21" s="101"/>
      <c r="K21" s="101"/>
      <c r="L21" s="10"/>
      <c r="O21" s="13"/>
      <c r="S21" s="13"/>
      <c r="T21" s="13"/>
      <c r="U21" s="18"/>
    </row>
    <row r="22" spans="1:24" ht="19.5" customHeight="1" x14ac:dyDescent="0.2">
      <c r="A22" s="19" t="s">
        <v>223</v>
      </c>
      <c r="B22" s="330"/>
      <c r="C22" s="102"/>
      <c r="D22" s="102"/>
      <c r="E22" s="102"/>
      <c r="F22" s="26"/>
      <c r="G22" s="101"/>
      <c r="H22" s="101"/>
      <c r="I22" s="101"/>
      <c r="J22" s="101"/>
      <c r="K22" s="101"/>
      <c r="L22" s="10"/>
      <c r="O22" s="13"/>
      <c r="S22" s="13"/>
      <c r="T22" s="13"/>
      <c r="U22" s="18"/>
    </row>
    <row r="23" spans="1:24" ht="14.25" customHeight="1" x14ac:dyDescent="0.2">
      <c r="A23" s="86"/>
      <c r="B23" s="86"/>
      <c r="C23" s="86"/>
      <c r="D23" s="87"/>
      <c r="E23" s="87"/>
      <c r="F23" s="88"/>
      <c r="G23" s="88"/>
      <c r="H23" s="88"/>
      <c r="I23" s="88"/>
      <c r="J23" s="89"/>
      <c r="K23" s="90"/>
      <c r="L23" s="10"/>
      <c r="O23" s="13"/>
      <c r="S23" s="13"/>
      <c r="T23" s="13"/>
      <c r="U23" s="18"/>
    </row>
    <row r="24" spans="1:24" s="103" customFormat="1" ht="24.75" customHeight="1" thickBot="1" x14ac:dyDescent="0.25">
      <c r="A24" s="381" t="s">
        <v>132</v>
      </c>
      <c r="B24" s="381"/>
      <c r="C24" s="381"/>
      <c r="D24" s="381"/>
      <c r="E24" s="381"/>
      <c r="F24" s="381"/>
      <c r="G24" s="381"/>
      <c r="H24" s="382"/>
      <c r="I24" s="212"/>
      <c r="J24" s="212"/>
      <c r="K24" s="212"/>
      <c r="L24" s="10"/>
      <c r="O24" s="104"/>
      <c r="S24" s="104"/>
      <c r="T24" s="104"/>
      <c r="U24" s="105"/>
    </row>
    <row r="25" spans="1:24" ht="53.25" customHeight="1" x14ac:dyDescent="0.2">
      <c r="A25" s="156" t="s">
        <v>126</v>
      </c>
      <c r="B25" s="202" t="s">
        <v>149</v>
      </c>
      <c r="C25" s="153" t="s">
        <v>213</v>
      </c>
      <c r="D25" s="379" t="s">
        <v>214</v>
      </c>
      <c r="E25" s="380"/>
      <c r="F25" s="154" t="s">
        <v>3</v>
      </c>
      <c r="G25" s="202" t="s">
        <v>4</v>
      </c>
      <c r="H25" s="211" t="s">
        <v>231</v>
      </c>
      <c r="I25" s="13"/>
      <c r="J25" s="213" t="s">
        <v>215</v>
      </c>
      <c r="K25" s="10"/>
      <c r="N25" s="13"/>
      <c r="R25" s="13"/>
      <c r="S25" s="13"/>
      <c r="T25" s="18"/>
    </row>
    <row r="26" spans="1:24" ht="18.75" customHeight="1" thickBot="1" x14ac:dyDescent="0.25">
      <c r="A26" s="158">
        <v>2</v>
      </c>
      <c r="B26" s="240">
        <v>46.3</v>
      </c>
      <c r="C26" s="241">
        <f>B26*VLOOKUP(VLOOKUP(A26,N97:O113,2,),O97:P113,2,TRUE)</f>
        <v>14.353</v>
      </c>
      <c r="D26" s="242">
        <v>14</v>
      </c>
      <c r="E26" s="243"/>
      <c r="F26" s="244">
        <v>25</v>
      </c>
      <c r="G26" s="312">
        <f>0.6*F26-1</f>
        <v>14</v>
      </c>
      <c r="H26" s="246">
        <f>(D26/0.75)*0.9</f>
        <v>16.8</v>
      </c>
      <c r="I26" s="26" t="s">
        <v>6</v>
      </c>
      <c r="J26" s="247">
        <v>14</v>
      </c>
      <c r="Q26" s="13"/>
      <c r="R26" s="13"/>
      <c r="S26" s="18"/>
    </row>
    <row r="27" spans="1:24" ht="18.75" customHeight="1" x14ac:dyDescent="0.2">
      <c r="B27" s="191"/>
      <c r="C27" s="191"/>
      <c r="D27" s="191"/>
      <c r="E27" s="191"/>
      <c r="F27" s="191"/>
      <c r="G27" s="191"/>
      <c r="I27" s="26" t="s">
        <v>201</v>
      </c>
      <c r="J27" s="247">
        <v>5.8</v>
      </c>
      <c r="K27" s="191"/>
      <c r="R27" s="13"/>
      <c r="S27" s="13"/>
      <c r="T27" s="18"/>
    </row>
    <row r="28" spans="1:24" ht="18.75" customHeight="1" thickBot="1" x14ac:dyDescent="0.3">
      <c r="B28" s="190"/>
      <c r="H28" s="13"/>
      <c r="I28" s="26" t="s">
        <v>202</v>
      </c>
      <c r="J28" s="248">
        <v>6.2</v>
      </c>
      <c r="L28" s="10"/>
      <c r="O28" s="13"/>
      <c r="S28" s="13"/>
      <c r="T28" s="13"/>
    </row>
    <row r="29" spans="1:24" ht="18.75" customHeight="1" thickBot="1" x14ac:dyDescent="0.25">
      <c r="C29" s="414" t="s">
        <v>5</v>
      </c>
      <c r="D29" s="414"/>
      <c r="E29" s="414"/>
      <c r="F29" s="414"/>
      <c r="H29" s="58"/>
      <c r="I29" s="369" t="s">
        <v>222</v>
      </c>
      <c r="J29" s="371">
        <f>(J28-J27)*J26</f>
        <v>5.600000000000005</v>
      </c>
      <c r="L29" s="10"/>
      <c r="O29" s="13"/>
      <c r="S29" s="13"/>
      <c r="T29" s="13"/>
    </row>
    <row r="30" spans="1:24" ht="21" customHeight="1" thickBot="1" x14ac:dyDescent="0.3">
      <c r="A30" s="169" t="s">
        <v>11</v>
      </c>
      <c r="B30" s="170" t="s">
        <v>12</v>
      </c>
      <c r="C30" s="357" t="s">
        <v>216</v>
      </c>
      <c r="D30" s="171" t="s">
        <v>10</v>
      </c>
      <c r="E30" s="197"/>
      <c r="H30" s="58"/>
      <c r="I30" s="370"/>
      <c r="J30" s="372"/>
      <c r="L30" s="12"/>
    </row>
    <row r="31" spans="1:24" ht="13.5" customHeight="1" thickBot="1" x14ac:dyDescent="0.3">
      <c r="A31" s="172" t="s">
        <v>14</v>
      </c>
      <c r="B31" s="23" t="s">
        <v>15</v>
      </c>
      <c r="C31" s="358"/>
      <c r="D31" s="173" t="s">
        <v>150</v>
      </c>
      <c r="E31" s="197"/>
      <c r="F31" s="223"/>
      <c r="H31" s="13"/>
      <c r="L31" s="12"/>
      <c r="X31" s="24"/>
    </row>
    <row r="32" spans="1:24" ht="17.100000000000001" customHeight="1" thickBot="1" x14ac:dyDescent="0.3">
      <c r="A32" s="174">
        <v>1</v>
      </c>
      <c r="B32" s="239">
        <v>77.7</v>
      </c>
      <c r="C32" s="25">
        <f>((F26*7.354)+3.85)*(VLOOKUP(VLOOKUP(A32,N61:O94,2,),O61:P94,2,TRUE))</f>
        <v>187.7</v>
      </c>
      <c r="D32" s="329">
        <f>C32-B32</f>
        <v>109.99999999999999</v>
      </c>
      <c r="E32" s="198"/>
      <c r="G32" s="408" t="s">
        <v>219</v>
      </c>
      <c r="H32" s="409"/>
      <c r="I32" s="409"/>
      <c r="J32" s="410"/>
      <c r="L32" s="12"/>
      <c r="X32" s="13"/>
    </row>
    <row r="33" spans="1:24" ht="20.100000000000001" customHeight="1" thickBot="1" x14ac:dyDescent="0.3">
      <c r="A33" s="396" t="s">
        <v>18</v>
      </c>
      <c r="B33" s="398" t="s">
        <v>19</v>
      </c>
      <c r="C33" s="400" t="s">
        <v>20</v>
      </c>
      <c r="D33" s="402" t="s">
        <v>21</v>
      </c>
      <c r="E33" s="199"/>
      <c r="G33" s="411"/>
      <c r="H33" s="412"/>
      <c r="I33" s="412"/>
      <c r="J33" s="413"/>
      <c r="L33" s="12"/>
      <c r="X33" s="132"/>
    </row>
    <row r="34" spans="1:24" ht="29.25" customHeight="1" thickBot="1" x14ac:dyDescent="0.3">
      <c r="A34" s="397"/>
      <c r="B34" s="399"/>
      <c r="C34" s="401"/>
      <c r="D34" s="403"/>
      <c r="E34" s="199"/>
      <c r="F34" s="152"/>
      <c r="G34" s="362" t="s">
        <v>203</v>
      </c>
      <c r="H34" s="362" t="s">
        <v>204</v>
      </c>
      <c r="I34" s="362" t="s">
        <v>207</v>
      </c>
      <c r="J34" s="364" t="s">
        <v>218</v>
      </c>
      <c r="L34" s="12"/>
      <c r="W34" s="133"/>
      <c r="X34" s="13"/>
    </row>
    <row r="35" spans="1:24" ht="15.75" customHeight="1" x14ac:dyDescent="0.25">
      <c r="A35" s="175" t="s">
        <v>22</v>
      </c>
      <c r="B35" s="250">
        <f>IF(F26&lt;=22,0.25,0.0012*(F26^2)-(0.0423*F26)+0.595)</f>
        <v>0.28749999999999998</v>
      </c>
      <c r="C35" s="251" t="s">
        <v>23</v>
      </c>
      <c r="D35" s="252">
        <f>IF(B35="","",B35*$D$26)</f>
        <v>4.0249999999999995</v>
      </c>
      <c r="E35" s="200"/>
      <c r="F35" s="145"/>
      <c r="G35" s="363"/>
      <c r="H35" s="363"/>
      <c r="I35" s="365"/>
      <c r="J35" s="365"/>
      <c r="K35" s="218" t="s">
        <v>208</v>
      </c>
      <c r="L35" s="12"/>
      <c r="W35" s="133"/>
      <c r="X35" s="13"/>
    </row>
    <row r="36" spans="1:24" ht="15" customHeight="1" x14ac:dyDescent="0.25">
      <c r="A36" s="176" t="s">
        <v>24</v>
      </c>
      <c r="B36" s="253">
        <f>B35*1.25</f>
        <v>0.359375</v>
      </c>
      <c r="C36" s="254">
        <f>IF(B36="","",B36*30)</f>
        <v>10.78125</v>
      </c>
      <c r="D36" s="252">
        <f>IF(B36="","",B36*$D$26)</f>
        <v>5.03125</v>
      </c>
      <c r="E36" s="201"/>
      <c r="F36" s="192" t="s">
        <v>25</v>
      </c>
      <c r="G36" s="236">
        <v>50</v>
      </c>
      <c r="H36" s="236">
        <v>30</v>
      </c>
      <c r="I36" s="237">
        <v>15</v>
      </c>
      <c r="J36" s="238">
        <v>0</v>
      </c>
      <c r="K36" s="219">
        <f>SUM(G36:J36)</f>
        <v>95</v>
      </c>
      <c r="L36" s="12"/>
      <c r="W36" s="13"/>
      <c r="X36" s="13"/>
    </row>
    <row r="37" spans="1:24" ht="15" customHeight="1" x14ac:dyDescent="0.25">
      <c r="A37" s="176" t="s">
        <v>26</v>
      </c>
      <c r="B37" s="255">
        <v>0.75</v>
      </c>
      <c r="C37" s="254">
        <f>IF(B37="","",B37*100)</f>
        <v>75</v>
      </c>
      <c r="D37" s="252">
        <f>IF(B37="","",B37*$D$26)</f>
        <v>10.5</v>
      </c>
      <c r="E37" s="201"/>
      <c r="F37" s="182" t="s">
        <v>27</v>
      </c>
      <c r="G37" s="184">
        <f>IF($D$37="","",$D$37*G36/100)</f>
        <v>5.25</v>
      </c>
      <c r="H37" s="184">
        <f>IF($D$37="","",$D$37*H36/100)</f>
        <v>3.15</v>
      </c>
      <c r="I37" s="193">
        <f>IF($D$37="","",$D$37*I36/100)</f>
        <v>1.575</v>
      </c>
      <c r="J37" s="184">
        <f>IF($D$37="","",$D$37*J36/100)</f>
        <v>0</v>
      </c>
      <c r="K37" s="316">
        <f>SUM(G37:J37)</f>
        <v>9.9749999999999996</v>
      </c>
      <c r="L37" s="12"/>
      <c r="W37" s="133"/>
      <c r="X37" s="24"/>
    </row>
    <row r="38" spans="1:24" ht="15" customHeight="1" x14ac:dyDescent="0.25">
      <c r="A38" s="176" t="s">
        <v>152</v>
      </c>
      <c r="B38" s="255">
        <v>0</v>
      </c>
      <c r="C38" s="254">
        <f>IF(B38="","",B38*52)</f>
        <v>0</v>
      </c>
      <c r="D38" s="252">
        <f>IF(B38="","",B38*$D$26)</f>
        <v>0</v>
      </c>
      <c r="E38" s="201"/>
      <c r="F38" s="183" t="s">
        <v>153</v>
      </c>
      <c r="G38" s="184">
        <f>IF($D$38="","",$D$38*G36/100)</f>
        <v>0</v>
      </c>
      <c r="H38" s="184">
        <f>IF($D$38="","",$D$38*H36/100)</f>
        <v>0</v>
      </c>
      <c r="I38" s="193">
        <f>IF($D$38="","",$D$38*I36/100)</f>
        <v>0</v>
      </c>
      <c r="J38" s="314">
        <f>IF($D$38="","",$D$38*J36/100)</f>
        <v>0</v>
      </c>
      <c r="K38" s="316">
        <f>SUM(G38:J38)</f>
        <v>0</v>
      </c>
      <c r="L38" s="12"/>
      <c r="W38" s="13"/>
      <c r="X38" s="24"/>
    </row>
    <row r="39" spans="1:24" ht="15" customHeight="1" thickBot="1" x14ac:dyDescent="0.25">
      <c r="A39" s="177" t="s">
        <v>28</v>
      </c>
      <c r="B39" s="256">
        <v>0</v>
      </c>
      <c r="C39" s="257">
        <f>IF(B39="","",B39*76)</f>
        <v>0</v>
      </c>
      <c r="D39" s="258">
        <f>IF(B39="","",B39*$D$26)</f>
        <v>0</v>
      </c>
      <c r="E39" s="201"/>
      <c r="F39" s="194" t="s">
        <v>29</v>
      </c>
      <c r="G39" s="184">
        <f>IF($D$39="","",D39*G36/100)</f>
        <v>0</v>
      </c>
      <c r="H39" s="204">
        <f>IF($D$39="","",D39*H36/100)</f>
        <v>0</v>
      </c>
      <c r="I39" s="205">
        <f>IF($D$39="","",D39*I36/100)</f>
        <v>0</v>
      </c>
      <c r="J39" s="315">
        <f>IF($D$39="","",D39*J36/100)</f>
        <v>0</v>
      </c>
      <c r="K39" s="317">
        <f>SUM(G39:J39)</f>
        <v>0</v>
      </c>
      <c r="T39" s="13"/>
      <c r="U39" s="13"/>
      <c r="W39" s="13"/>
      <c r="X39" s="24"/>
    </row>
    <row r="40" spans="1:24" ht="15" customHeight="1" thickTop="1" thickBot="1" x14ac:dyDescent="0.25">
      <c r="A40" s="17"/>
      <c r="B40" s="185"/>
      <c r="C40" s="186"/>
      <c r="D40" s="187"/>
      <c r="E40" s="200"/>
      <c r="F40" s="367" t="s">
        <v>221</v>
      </c>
      <c r="G40" s="313">
        <f>C36+(SUM(C37:C39)*G36/100)</f>
        <v>48.28125</v>
      </c>
      <c r="H40" s="313">
        <f>G40+SUM(C37:C39)*(H36/100)</f>
        <v>70.78125</v>
      </c>
      <c r="I40" s="313">
        <f>H40+SUM(C37:C39)*(I36/100)</f>
        <v>82.03125</v>
      </c>
      <c r="J40" s="328">
        <f>I40+SUM(C37:C39)*(J36/100)</f>
        <v>82.03125</v>
      </c>
      <c r="K40" s="318">
        <f>J40</f>
        <v>82.03125</v>
      </c>
      <c r="L40" s="28"/>
      <c r="P40" s="73" t="s">
        <v>158</v>
      </c>
      <c r="Q40" s="13"/>
      <c r="U40" s="13"/>
      <c r="W40" s="13"/>
      <c r="X40" s="24"/>
    </row>
    <row r="41" spans="1:24" ht="15" customHeight="1" thickBot="1" x14ac:dyDescent="0.25">
      <c r="A41" s="188" t="s">
        <v>30</v>
      </c>
      <c r="B41" s="326">
        <v>0</v>
      </c>
      <c r="C41" s="259">
        <f>IF(B41="","",B41*200)</f>
        <v>0</v>
      </c>
      <c r="D41" s="260">
        <f>IF(B41="","",B41*$D$26)</f>
        <v>0</v>
      </c>
      <c r="E41" s="200"/>
      <c r="F41" s="368"/>
      <c r="G41" s="327"/>
      <c r="H41" s="327"/>
      <c r="I41" s="327"/>
      <c r="J41" s="327"/>
      <c r="K41" s="217"/>
      <c r="L41" s="29"/>
      <c r="O41" s="8" t="s">
        <v>160</v>
      </c>
      <c r="P41" s="8" t="s">
        <v>161</v>
      </c>
      <c r="Q41" s="13"/>
      <c r="U41" s="13"/>
      <c r="W41" s="133"/>
      <c r="X41" s="24"/>
    </row>
    <row r="42" spans="1:24" ht="15" customHeight="1" thickBot="1" x14ac:dyDescent="0.25">
      <c r="A42" s="30"/>
      <c r="B42" s="31"/>
      <c r="C42" s="167">
        <f>SUM(C36:C41)</f>
        <v>85.78125</v>
      </c>
      <c r="D42" s="168"/>
      <c r="E42" s="168"/>
      <c r="F42" s="33" t="s">
        <v>128</v>
      </c>
      <c r="G42" s="214"/>
      <c r="H42" s="387" t="s">
        <v>32</v>
      </c>
      <c r="I42" s="388"/>
      <c r="J42" s="389"/>
      <c r="K42" s="222"/>
      <c r="L42" s="32"/>
      <c r="O42" s="94">
        <v>21</v>
      </c>
      <c r="P42" s="94">
        <v>158</v>
      </c>
      <c r="Q42" s="13"/>
      <c r="U42" s="13"/>
      <c r="W42" s="13"/>
      <c r="X42" s="24"/>
    </row>
    <row r="43" spans="1:24" ht="15" customHeight="1" thickBot="1" x14ac:dyDescent="0.25">
      <c r="A43" s="359" t="s">
        <v>217</v>
      </c>
      <c r="B43" s="360"/>
      <c r="C43" s="361"/>
      <c r="G43" s="216" t="s">
        <v>25</v>
      </c>
      <c r="H43" s="235">
        <v>25</v>
      </c>
      <c r="I43" s="235">
        <v>60</v>
      </c>
      <c r="J43" s="324">
        <v>0</v>
      </c>
      <c r="K43" s="249">
        <f>SUM(H43:J43)</f>
        <v>85</v>
      </c>
      <c r="L43" s="32"/>
      <c r="O43" s="94">
        <v>23</v>
      </c>
      <c r="P43" s="94">
        <v>173</v>
      </c>
      <c r="Q43" s="13"/>
      <c r="U43" s="13"/>
    </row>
    <row r="44" spans="1:24" ht="15" customHeight="1" thickBot="1" x14ac:dyDescent="0.25">
      <c r="A44" s="386" t="s">
        <v>228</v>
      </c>
      <c r="B44" s="386"/>
      <c r="C44" s="386"/>
      <c r="D44" s="386"/>
      <c r="E44" t="s">
        <v>128</v>
      </c>
      <c r="G44" s="221" t="s">
        <v>31</v>
      </c>
      <c r="H44" s="215">
        <f>IF($D$41="","",$D$41*H43/100)</f>
        <v>0</v>
      </c>
      <c r="I44" s="215">
        <f>IF($D$41="","",$D$41*I43/100)</f>
        <v>0</v>
      </c>
      <c r="J44" s="319">
        <f>IF($D$41="","",$D$41*J43/100)</f>
        <v>0</v>
      </c>
      <c r="K44" s="320">
        <f>SUM(H44:J44)</f>
        <v>0</v>
      </c>
      <c r="L44" s="32"/>
      <c r="O44" s="94">
        <v>25</v>
      </c>
      <c r="P44" s="94">
        <v>188</v>
      </c>
      <c r="Q44" s="13"/>
      <c r="U44" s="13"/>
    </row>
    <row r="45" spans="1:24" ht="15" customHeight="1" thickTop="1" thickBot="1" x14ac:dyDescent="0.25">
      <c r="A45" s="33"/>
      <c r="B45" s="33"/>
      <c r="C45" s="33"/>
      <c r="F45" s="220"/>
      <c r="G45" s="367" t="s">
        <v>221</v>
      </c>
      <c r="H45" s="313">
        <f>C41*(H43/100)</f>
        <v>0</v>
      </c>
      <c r="I45" s="313">
        <f>H45+(C41*I43/100)</f>
        <v>0</v>
      </c>
      <c r="J45" s="321">
        <f>I45+(C41*J43/100)</f>
        <v>0</v>
      </c>
      <c r="K45" s="322">
        <f>J45</f>
        <v>0</v>
      </c>
      <c r="L45" s="32"/>
      <c r="O45" s="94">
        <v>27</v>
      </c>
      <c r="P45" s="94">
        <v>202</v>
      </c>
      <c r="Q45" s="13"/>
      <c r="U45" s="13"/>
    </row>
    <row r="46" spans="1:24" ht="21.75" customHeight="1" x14ac:dyDescent="0.2">
      <c r="A46" s="33"/>
      <c r="B46" s="33"/>
      <c r="C46" s="33"/>
      <c r="F46" s="34"/>
      <c r="G46" s="368"/>
      <c r="H46" s="366" t="s">
        <v>209</v>
      </c>
      <c r="I46" s="366"/>
      <c r="J46" s="366"/>
      <c r="K46" s="323">
        <f>SUM(K40,K45)</f>
        <v>82.03125</v>
      </c>
      <c r="L46" s="32"/>
      <c r="O46" s="29" t="s">
        <v>233</v>
      </c>
      <c r="P46" s="3"/>
      <c r="Q46" s="13"/>
      <c r="U46" s="13"/>
    </row>
    <row r="47" spans="1:24" ht="6" customHeight="1" x14ac:dyDescent="0.2">
      <c r="A47" s="86"/>
      <c r="B47" s="86"/>
      <c r="C47" s="86"/>
      <c r="D47" s="87"/>
      <c r="E47" s="87"/>
      <c r="F47" s="88"/>
      <c r="G47" s="88"/>
      <c r="H47" s="88"/>
      <c r="I47" s="88"/>
      <c r="J47" s="89"/>
      <c r="K47" s="90"/>
      <c r="L47" s="32"/>
      <c r="N47" s="29"/>
      <c r="U47" s="13"/>
    </row>
    <row r="48" spans="1:24" ht="14.25" customHeight="1" thickBot="1" x14ac:dyDescent="0.3">
      <c r="A48" s="35"/>
      <c r="B48" s="36"/>
      <c r="C48" s="36"/>
      <c r="D48" s="36"/>
      <c r="E48" s="203" t="s">
        <v>33</v>
      </c>
      <c r="F48" s="203"/>
      <c r="G48" s="106"/>
      <c r="H48" s="106"/>
      <c r="I48" s="106"/>
      <c r="J48" s="36"/>
      <c r="K48" s="36"/>
      <c r="L48" s="32"/>
      <c r="N48" s="128"/>
      <c r="O48" s="128"/>
      <c r="U48" s="13"/>
    </row>
    <row r="49" spans="1:24" ht="27.75" customHeight="1" x14ac:dyDescent="0.2">
      <c r="A49" s="156" t="s">
        <v>34</v>
      </c>
      <c r="B49" s="153" t="s">
        <v>35</v>
      </c>
      <c r="C49" s="155" t="s">
        <v>36</v>
      </c>
      <c r="D49" s="157" t="s">
        <v>37</v>
      </c>
      <c r="E49" s="102"/>
      <c r="F49" s="13"/>
      <c r="G49" s="348" t="s">
        <v>34</v>
      </c>
      <c r="H49" s="350" t="s">
        <v>38</v>
      </c>
      <c r="I49" s="351"/>
      <c r="J49" s="404" t="s">
        <v>36</v>
      </c>
      <c r="K49" s="406" t="s">
        <v>206</v>
      </c>
      <c r="L49" s="32"/>
      <c r="U49" s="13"/>
    </row>
    <row r="50" spans="1:24" ht="14.25" customHeight="1" x14ac:dyDescent="0.2">
      <c r="A50" s="166" t="s">
        <v>39</v>
      </c>
      <c r="B50" s="37" t="s">
        <v>40</v>
      </c>
      <c r="C50" s="228">
        <v>7.0000000000000007E-2</v>
      </c>
      <c r="D50" s="261">
        <f>$D$26*C50</f>
        <v>0.98000000000000009</v>
      </c>
      <c r="E50" s="46"/>
      <c r="F50" s="13"/>
      <c r="G50" s="349"/>
      <c r="H50" s="147" t="s">
        <v>41</v>
      </c>
      <c r="I50" s="146" t="s">
        <v>42</v>
      </c>
      <c r="J50" s="405"/>
      <c r="K50" s="407"/>
    </row>
    <row r="51" spans="1:24" ht="14.25" customHeight="1" x14ac:dyDescent="0.2">
      <c r="A51" s="159" t="s">
        <v>199</v>
      </c>
      <c r="B51" s="38" t="s">
        <v>200</v>
      </c>
      <c r="C51" s="229">
        <v>7.4999999999999997E-3</v>
      </c>
      <c r="D51" s="262">
        <f>$B$26*C51</f>
        <v>0.34724999999999995</v>
      </c>
      <c r="E51" s="46"/>
      <c r="F51" s="39"/>
      <c r="G51" s="159" t="s">
        <v>155</v>
      </c>
      <c r="H51" s="37" t="s">
        <v>156</v>
      </c>
      <c r="I51" s="38" t="s">
        <v>157</v>
      </c>
      <c r="J51" s="225">
        <v>0.04</v>
      </c>
      <c r="K51" s="262">
        <f>$B$26*J51</f>
        <v>1.8519999999999999</v>
      </c>
      <c r="N51" s="142" t="s">
        <v>193</v>
      </c>
    </row>
    <row r="52" spans="1:24" ht="14.25" customHeight="1" x14ac:dyDescent="0.2">
      <c r="A52" s="159" t="s">
        <v>43</v>
      </c>
      <c r="B52" s="38" t="s">
        <v>154</v>
      </c>
      <c r="C52" s="230">
        <v>1.4999999999999999E-2</v>
      </c>
      <c r="D52" s="262">
        <f>$B$26*C52</f>
        <v>0.6944999999999999</v>
      </c>
      <c r="E52" s="46"/>
      <c r="F52" s="39"/>
      <c r="G52" s="160" t="s">
        <v>44</v>
      </c>
      <c r="H52" s="37" t="s">
        <v>45</v>
      </c>
      <c r="I52" s="37" t="s">
        <v>46</v>
      </c>
      <c r="J52" s="225">
        <v>0.15</v>
      </c>
      <c r="K52" s="262">
        <f t="shared" ref="K52:K61" si="0">$D$26*J52</f>
        <v>2.1</v>
      </c>
      <c r="M52" s="107"/>
      <c r="N52" t="s">
        <v>190</v>
      </c>
    </row>
    <row r="53" spans="1:24" ht="14.25" customHeight="1" x14ac:dyDescent="0.2">
      <c r="A53" s="159" t="s">
        <v>159</v>
      </c>
      <c r="B53" s="38" t="s">
        <v>162</v>
      </c>
      <c r="C53" s="230">
        <v>0.25</v>
      </c>
      <c r="D53" s="262">
        <f t="shared" ref="D53:D58" si="1">$D$26*C53</f>
        <v>3.5</v>
      </c>
      <c r="E53" s="46"/>
      <c r="F53" s="39"/>
      <c r="G53" s="161" t="s">
        <v>205</v>
      </c>
      <c r="H53" s="37" t="s">
        <v>49</v>
      </c>
      <c r="I53" s="37" t="s">
        <v>50</v>
      </c>
      <c r="J53" s="225">
        <v>0.2</v>
      </c>
      <c r="K53" s="262">
        <f t="shared" si="0"/>
        <v>2.8000000000000003</v>
      </c>
      <c r="N53" t="s">
        <v>191</v>
      </c>
    </row>
    <row r="54" spans="1:24" ht="14.25" customHeight="1" x14ac:dyDescent="0.2">
      <c r="A54" s="159" t="s">
        <v>47</v>
      </c>
      <c r="B54" s="38" t="s">
        <v>48</v>
      </c>
      <c r="C54" s="230">
        <v>0.4</v>
      </c>
      <c r="D54" s="262">
        <f t="shared" si="1"/>
        <v>5.6000000000000005</v>
      </c>
      <c r="E54" s="46"/>
      <c r="F54" s="39"/>
      <c r="G54" s="162" t="s">
        <v>52</v>
      </c>
      <c r="H54" s="37"/>
      <c r="I54" s="37" t="s">
        <v>163</v>
      </c>
      <c r="J54" s="225">
        <v>1.5</v>
      </c>
      <c r="K54" s="262">
        <f t="shared" si="0"/>
        <v>21</v>
      </c>
      <c r="L54" s="42"/>
      <c r="N54" t="s">
        <v>192</v>
      </c>
    </row>
    <row r="55" spans="1:24" ht="14.25" customHeight="1" x14ac:dyDescent="0.2">
      <c r="A55" s="159" t="s">
        <v>51</v>
      </c>
      <c r="B55" s="41" t="s">
        <v>162</v>
      </c>
      <c r="C55" s="230">
        <v>0.3</v>
      </c>
      <c r="D55" s="262">
        <f t="shared" si="1"/>
        <v>4.2</v>
      </c>
      <c r="E55" s="46"/>
      <c r="F55" s="39" t="s">
        <v>128</v>
      </c>
      <c r="G55" s="163" t="s">
        <v>55</v>
      </c>
      <c r="H55" s="43" t="s">
        <v>56</v>
      </c>
      <c r="I55" s="207"/>
      <c r="J55" s="226">
        <v>7.4999999999999997E-2</v>
      </c>
      <c r="K55" s="262">
        <f t="shared" si="0"/>
        <v>1.05</v>
      </c>
    </row>
    <row r="56" spans="1:24" ht="14.25" customHeight="1" x14ac:dyDescent="0.2">
      <c r="A56" s="159" t="s">
        <v>53</v>
      </c>
      <c r="B56" s="41" t="s">
        <v>54</v>
      </c>
      <c r="C56" s="231">
        <v>0.3</v>
      </c>
      <c r="D56" s="262">
        <f t="shared" si="1"/>
        <v>4.2</v>
      </c>
      <c r="E56" s="46"/>
      <c r="F56" s="39"/>
      <c r="G56" s="164" t="s">
        <v>59</v>
      </c>
      <c r="H56" s="45" t="s">
        <v>60</v>
      </c>
      <c r="I56" s="45" t="s">
        <v>60</v>
      </c>
      <c r="J56" s="227">
        <v>0.03</v>
      </c>
      <c r="K56" s="263">
        <f t="shared" si="0"/>
        <v>0.42</v>
      </c>
    </row>
    <row r="57" spans="1:24" ht="14.25" customHeight="1" x14ac:dyDescent="0.2">
      <c r="A57" s="163" t="s">
        <v>57</v>
      </c>
      <c r="B57" s="44" t="s">
        <v>58</v>
      </c>
      <c r="C57" s="232">
        <v>0.2</v>
      </c>
      <c r="D57" s="262">
        <f t="shared" si="1"/>
        <v>2.8000000000000003</v>
      </c>
      <c r="E57" s="46"/>
      <c r="F57" s="39"/>
      <c r="G57" s="165" t="s">
        <v>62</v>
      </c>
      <c r="H57" s="38" t="s">
        <v>210</v>
      </c>
      <c r="I57" s="38"/>
      <c r="J57" s="226">
        <v>0.15</v>
      </c>
      <c r="K57" s="264">
        <f t="shared" si="0"/>
        <v>2.1</v>
      </c>
    </row>
    <row r="58" spans="1:24" ht="14.25" customHeight="1" x14ac:dyDescent="0.2">
      <c r="A58" s="159" t="s">
        <v>61</v>
      </c>
      <c r="B58" s="41" t="s">
        <v>58</v>
      </c>
      <c r="C58" s="228">
        <v>0.2</v>
      </c>
      <c r="D58" s="262">
        <f t="shared" si="1"/>
        <v>2.8000000000000003</v>
      </c>
      <c r="E58" s="46"/>
      <c r="F58" s="39"/>
      <c r="G58" s="165" t="s">
        <v>65</v>
      </c>
      <c r="H58" s="38" t="s">
        <v>164</v>
      </c>
      <c r="I58" s="38"/>
      <c r="J58" s="226">
        <v>1</v>
      </c>
      <c r="K58" s="264">
        <f t="shared" si="0"/>
        <v>14</v>
      </c>
    </row>
    <row r="59" spans="1:24" ht="14.25" customHeight="1" x14ac:dyDescent="0.2">
      <c r="A59" s="159" t="s">
        <v>63</v>
      </c>
      <c r="B59" s="41" t="s">
        <v>64</v>
      </c>
      <c r="C59" s="228">
        <v>0.01</v>
      </c>
      <c r="D59" s="262">
        <f>$B$26*C59</f>
        <v>0.46299999999999997</v>
      </c>
      <c r="E59" s="46"/>
      <c r="F59" s="39"/>
      <c r="G59" s="165" t="s">
        <v>68</v>
      </c>
      <c r="H59" s="207"/>
      <c r="I59" s="38" t="s">
        <v>165</v>
      </c>
      <c r="J59" s="226">
        <v>0.5</v>
      </c>
      <c r="K59" s="264">
        <f t="shared" si="0"/>
        <v>7</v>
      </c>
      <c r="N59" s="385" t="s">
        <v>167</v>
      </c>
      <c r="O59" s="385"/>
      <c r="P59" s="385"/>
      <c r="R59" s="383" t="s">
        <v>194</v>
      </c>
    </row>
    <row r="60" spans="1:24" ht="14.25" customHeight="1" x14ac:dyDescent="0.2">
      <c r="A60" s="159" t="s">
        <v>66</v>
      </c>
      <c r="B60" s="41" t="s">
        <v>67</v>
      </c>
      <c r="C60" s="233">
        <v>1.5800000000000002E-2</v>
      </c>
      <c r="D60" s="262">
        <f>$D$26*C60</f>
        <v>0.22120000000000001</v>
      </c>
      <c r="E60" s="46"/>
      <c r="F60" s="46"/>
      <c r="G60" s="166" t="s">
        <v>70</v>
      </c>
      <c r="H60" s="37" t="s">
        <v>166</v>
      </c>
      <c r="I60" s="37"/>
      <c r="J60" s="225">
        <v>0.1</v>
      </c>
      <c r="K60" s="261">
        <f t="shared" si="0"/>
        <v>1.4000000000000001</v>
      </c>
      <c r="N60" s="385"/>
      <c r="O60" s="385"/>
      <c r="P60" s="385"/>
      <c r="R60" s="384"/>
    </row>
    <row r="61" spans="1:24" ht="14.25" customHeight="1" x14ac:dyDescent="0.2">
      <c r="A61" s="159" t="s">
        <v>69</v>
      </c>
      <c r="B61" s="41" t="s">
        <v>162</v>
      </c>
      <c r="C61" s="230">
        <v>0.3</v>
      </c>
      <c r="D61" s="262">
        <f>$D$26*C61</f>
        <v>4.2</v>
      </c>
      <c r="E61" s="46"/>
      <c r="F61" s="46"/>
      <c r="G61" s="159" t="s">
        <v>73</v>
      </c>
      <c r="H61" s="37" t="s">
        <v>74</v>
      </c>
      <c r="I61" s="37" t="s">
        <v>74</v>
      </c>
      <c r="J61" s="225">
        <v>0.35</v>
      </c>
      <c r="K61" s="261">
        <f t="shared" si="0"/>
        <v>4.8999999999999995</v>
      </c>
      <c r="M61" s="129"/>
      <c r="N61" s="108">
        <v>1</v>
      </c>
      <c r="O61" s="150">
        <v>43</v>
      </c>
      <c r="P61" s="123">
        <v>1</v>
      </c>
      <c r="R61" s="40" t="s">
        <v>123</v>
      </c>
      <c r="S61" s="139" t="s">
        <v>75</v>
      </c>
      <c r="W61" s="13"/>
      <c r="X61" s="13"/>
    </row>
    <row r="62" spans="1:24" s="13" customFormat="1" ht="14.25" customHeight="1" x14ac:dyDescent="0.2">
      <c r="A62" s="159" t="s">
        <v>71</v>
      </c>
      <c r="B62" s="37" t="s">
        <v>72</v>
      </c>
      <c r="C62" s="225">
        <v>0.15</v>
      </c>
      <c r="D62" s="262">
        <f>$D$26*C62</f>
        <v>2.1</v>
      </c>
      <c r="E62" s="46"/>
      <c r="F62" s="46"/>
      <c r="G62" s="159" t="s">
        <v>170</v>
      </c>
      <c r="H62" s="37" t="s">
        <v>171</v>
      </c>
      <c r="I62" s="37"/>
      <c r="J62" s="225">
        <v>0.2</v>
      </c>
      <c r="K62" s="261">
        <f>$D26*J62</f>
        <v>2.8000000000000003</v>
      </c>
      <c r="L62"/>
      <c r="M62" s="135"/>
      <c r="N62" s="82">
        <v>2</v>
      </c>
      <c r="O62" s="9">
        <v>3001</v>
      </c>
      <c r="P62" s="123">
        <v>1.3</v>
      </c>
      <c r="R62" s="40" t="s">
        <v>124</v>
      </c>
      <c r="S62" s="27" t="s">
        <v>176</v>
      </c>
      <c r="T62" s="109"/>
      <c r="V62" s="110"/>
      <c r="X62" s="110"/>
    </row>
    <row r="63" spans="1:24" s="13" customFormat="1" ht="14.25" customHeight="1" x14ac:dyDescent="0.2">
      <c r="A63" s="159" t="s">
        <v>168</v>
      </c>
      <c r="B63" s="37" t="s">
        <v>169</v>
      </c>
      <c r="C63" s="234">
        <v>1.4999999999999999E-2</v>
      </c>
      <c r="D63" s="262">
        <f>$D$26*C63</f>
        <v>0.21</v>
      </c>
      <c r="E63" s="46"/>
      <c r="F63" s="46"/>
      <c r="G63" s="208" t="s">
        <v>174</v>
      </c>
      <c r="H63" s="45" t="s">
        <v>175</v>
      </c>
      <c r="I63" s="45"/>
      <c r="J63" s="227">
        <v>0.35</v>
      </c>
      <c r="K63" s="265">
        <f>$D26*J63</f>
        <v>4.8999999999999995</v>
      </c>
      <c r="M63" s="129"/>
      <c r="N63" s="108">
        <v>3</v>
      </c>
      <c r="O63" s="8">
        <v>4600</v>
      </c>
      <c r="P63" s="130">
        <v>1</v>
      </c>
      <c r="R63" s="40" t="s">
        <v>123</v>
      </c>
      <c r="S63" s="27" t="s">
        <v>188</v>
      </c>
      <c r="T63" s="109"/>
      <c r="X63" s="110"/>
    </row>
    <row r="64" spans="1:24" s="13" customFormat="1" ht="14.25" customHeight="1" thickBot="1" x14ac:dyDescent="0.25">
      <c r="A64" s="208" t="s">
        <v>172</v>
      </c>
      <c r="B64" s="45" t="s">
        <v>173</v>
      </c>
      <c r="C64" s="334">
        <v>1.4999999999999999E-2</v>
      </c>
      <c r="D64" s="263">
        <f>$D$26*C64</f>
        <v>0.21</v>
      </c>
      <c r="E64" s="46"/>
      <c r="F64" s="46"/>
      <c r="G64" s="209" t="s">
        <v>211</v>
      </c>
      <c r="H64" s="210"/>
      <c r="I64" s="210" t="s">
        <v>212</v>
      </c>
      <c r="J64" s="224">
        <v>0.3</v>
      </c>
      <c r="K64" s="245">
        <f>$D$26*J64</f>
        <v>4.2</v>
      </c>
      <c r="L64" s="58"/>
      <c r="M64" s="135"/>
      <c r="N64" s="82">
        <v>4</v>
      </c>
      <c r="O64" s="111" t="s">
        <v>81</v>
      </c>
      <c r="P64" s="124">
        <v>1.3</v>
      </c>
      <c r="R64" s="40" t="s">
        <v>124</v>
      </c>
      <c r="S64" s="134" t="s">
        <v>187</v>
      </c>
      <c r="T64" s="109"/>
      <c r="X64" s="110"/>
    </row>
    <row r="65" spans="1:24" s="13" customFormat="1" ht="14.25" customHeight="1" x14ac:dyDescent="0.2">
      <c r="A65" s="335"/>
      <c r="B65" s="336"/>
      <c r="C65" s="337"/>
      <c r="D65" s="338"/>
      <c r="E65" s="46"/>
      <c r="F65" s="46"/>
      <c r="G65" s="331"/>
      <c r="H65" s="332"/>
      <c r="I65" s="332"/>
      <c r="J65" s="333"/>
      <c r="K65" s="101"/>
      <c r="L65" s="58"/>
      <c r="M65" s="135"/>
      <c r="N65" s="108">
        <v>5</v>
      </c>
      <c r="O65" s="111" t="s">
        <v>82</v>
      </c>
      <c r="P65" s="130">
        <v>1</v>
      </c>
      <c r="Q65" s="137">
        <v>1</v>
      </c>
      <c r="R65" s="40" t="s">
        <v>123</v>
      </c>
      <c r="S65" s="134"/>
      <c r="T65" s="109"/>
      <c r="X65" s="110"/>
    </row>
    <row r="66" spans="1:24" s="13" customFormat="1" ht="19.5" customHeight="1" x14ac:dyDescent="0.2">
      <c r="A66" s="356" t="s">
        <v>76</v>
      </c>
      <c r="B66" s="356"/>
      <c r="C66" s="356"/>
      <c r="D66" s="356"/>
      <c r="E66" s="356"/>
      <c r="F66" s="356"/>
      <c r="G66" s="356"/>
      <c r="H66" s="356"/>
      <c r="I66" s="356"/>
      <c r="J66" s="356"/>
      <c r="K66" s="356"/>
      <c r="M66" s="129"/>
      <c r="N66" s="82">
        <v>6</v>
      </c>
      <c r="O66" s="113" t="s">
        <v>83</v>
      </c>
      <c r="P66" s="124">
        <v>1</v>
      </c>
      <c r="R66" s="40" t="s">
        <v>123</v>
      </c>
      <c r="S66" s="134"/>
      <c r="T66" s="112"/>
    </row>
    <row r="67" spans="1:24" s="13" customFormat="1" ht="24.95" customHeight="1" x14ac:dyDescent="0.2">
      <c r="A67" s="8" t="s">
        <v>77</v>
      </c>
      <c r="B67" s="8" t="s">
        <v>78</v>
      </c>
      <c r="C67" s="8" t="s">
        <v>79</v>
      </c>
      <c r="D67" s="8" t="s">
        <v>80</v>
      </c>
      <c r="E67" s="148"/>
      <c r="F67" s="347" t="s">
        <v>177</v>
      </c>
      <c r="G67" s="347"/>
      <c r="H67" s="347"/>
      <c r="I67" s="347"/>
      <c r="J67" s="347"/>
      <c r="K67" s="147"/>
      <c r="M67" s="129"/>
      <c r="N67" s="108">
        <v>7</v>
      </c>
      <c r="O67" s="113" t="s">
        <v>84</v>
      </c>
      <c r="P67" s="123">
        <v>1.7</v>
      </c>
      <c r="R67" s="138" t="s">
        <v>125</v>
      </c>
      <c r="S67" s="17" t="s">
        <v>189</v>
      </c>
      <c r="T67" s="112"/>
    </row>
    <row r="68" spans="1:24" s="13" customFormat="1" ht="24.95" customHeight="1" x14ac:dyDescent="0.2">
      <c r="A68" s="80"/>
      <c r="B68" s="81"/>
      <c r="C68" s="75"/>
      <c r="D68" s="74"/>
      <c r="E68" s="74"/>
      <c r="F68" s="76"/>
      <c r="G68" s="149"/>
      <c r="H68" s="149"/>
      <c r="I68" s="149"/>
      <c r="J68" s="149"/>
      <c r="K68" s="147"/>
      <c r="M68" s="136"/>
      <c r="N68" s="82">
        <v>8</v>
      </c>
      <c r="O68" s="111" t="s">
        <v>85</v>
      </c>
      <c r="P68" s="123">
        <v>1.3</v>
      </c>
      <c r="Q68" s="116"/>
      <c r="R68" s="40" t="s">
        <v>124</v>
      </c>
      <c r="S68" s="140" t="s">
        <v>195</v>
      </c>
      <c r="T68" s="115"/>
    </row>
    <row r="69" spans="1:24" s="13" customFormat="1" ht="24.95" customHeight="1" x14ac:dyDescent="0.2">
      <c r="A69" s="80"/>
      <c r="B69" s="81"/>
      <c r="C69" s="75"/>
      <c r="D69" s="81"/>
      <c r="E69" s="81"/>
      <c r="F69" s="76"/>
      <c r="G69" s="77"/>
      <c r="H69" s="78"/>
      <c r="I69" s="78"/>
      <c r="J69" s="78"/>
      <c r="K69" s="79"/>
      <c r="M69" s="135"/>
      <c r="N69" s="108">
        <v>9</v>
      </c>
      <c r="O69" s="111" t="s">
        <v>86</v>
      </c>
      <c r="P69" s="123">
        <v>1.8</v>
      </c>
      <c r="Q69" s="137"/>
      <c r="R69" s="138" t="s">
        <v>125</v>
      </c>
      <c r="S69" s="140" t="s">
        <v>197</v>
      </c>
      <c r="T69" s="112"/>
    </row>
    <row r="70" spans="1:24" s="13" customFormat="1" ht="24.95" customHeight="1" x14ac:dyDescent="0.2">
      <c r="A70" s="80"/>
      <c r="B70" s="81"/>
      <c r="C70" s="75"/>
      <c r="D70" s="81"/>
      <c r="E70" s="81"/>
      <c r="F70" s="76"/>
      <c r="G70" s="78"/>
      <c r="H70" s="78"/>
      <c r="I70" s="78"/>
      <c r="J70" s="78"/>
      <c r="K70" s="79"/>
      <c r="M70" s="136"/>
      <c r="N70" s="82">
        <v>10</v>
      </c>
      <c r="O70" s="111" t="s">
        <v>87</v>
      </c>
      <c r="P70" s="123">
        <v>1.875</v>
      </c>
      <c r="Q70" s="339">
        <v>1.875</v>
      </c>
      <c r="R70" s="138" t="s">
        <v>125</v>
      </c>
      <c r="S70" s="104" t="s">
        <v>196</v>
      </c>
      <c r="T70" s="112"/>
    </row>
    <row r="71" spans="1:24" s="13" customFormat="1" ht="24.95" customHeight="1" x14ac:dyDescent="0.2">
      <c r="A71" s="80"/>
      <c r="B71" s="81"/>
      <c r="C71" s="75"/>
      <c r="D71" s="81"/>
      <c r="E71" s="81"/>
      <c r="F71" s="76"/>
      <c r="G71" s="78"/>
      <c r="H71" s="78"/>
      <c r="I71" s="78"/>
      <c r="J71" s="78"/>
      <c r="K71" s="79"/>
      <c r="M71" s="136"/>
      <c r="N71" s="108">
        <v>11</v>
      </c>
      <c r="O71" s="111" t="s">
        <v>88</v>
      </c>
      <c r="P71" s="123">
        <v>1.3</v>
      </c>
      <c r="Q71" s="116"/>
      <c r="R71" s="40" t="s">
        <v>124</v>
      </c>
      <c r="S71" s="141"/>
      <c r="T71" s="117"/>
    </row>
    <row r="72" spans="1:24" s="13" customFormat="1" ht="24.95" customHeight="1" x14ac:dyDescent="0.2">
      <c r="A72" s="80"/>
      <c r="B72" s="81"/>
      <c r="C72" s="75"/>
      <c r="D72" s="81"/>
      <c r="E72" s="81"/>
      <c r="F72" s="76"/>
      <c r="G72" s="78"/>
      <c r="H72" s="78"/>
      <c r="I72" s="78"/>
      <c r="J72" s="78"/>
      <c r="K72" s="79"/>
      <c r="L72"/>
      <c r="M72" s="135"/>
      <c r="N72" s="82">
        <v>12</v>
      </c>
      <c r="O72" s="111" t="s">
        <v>89</v>
      </c>
      <c r="P72" s="123">
        <v>1.7</v>
      </c>
      <c r="Q72" s="116"/>
      <c r="R72" s="138" t="s">
        <v>125</v>
      </c>
      <c r="S72" s="51"/>
      <c r="T72" s="115"/>
    </row>
    <row r="73" spans="1:24" s="13" customFormat="1" ht="24.95" customHeight="1" x14ac:dyDescent="0.2">
      <c r="A73" s="80"/>
      <c r="B73" s="81"/>
      <c r="C73" s="75"/>
      <c r="D73" s="81"/>
      <c r="E73" s="81"/>
      <c r="F73" s="76"/>
      <c r="G73" s="78"/>
      <c r="H73" s="78"/>
      <c r="I73" s="78"/>
      <c r="J73" s="78"/>
      <c r="K73" s="79"/>
      <c r="M73" s="136"/>
      <c r="N73" s="108">
        <v>13</v>
      </c>
      <c r="O73" s="111" t="s">
        <v>90</v>
      </c>
      <c r="P73" s="123">
        <v>1.3</v>
      </c>
      <c r="Q73" s="116"/>
      <c r="R73" s="40" t="s">
        <v>124</v>
      </c>
      <c r="S73" s="114"/>
      <c r="T73" s="117"/>
    </row>
    <row r="74" spans="1:24" s="13" customFormat="1" ht="24.95" customHeight="1" x14ac:dyDescent="0.2">
      <c r="A74" s="80"/>
      <c r="B74" s="81"/>
      <c r="C74" s="75"/>
      <c r="D74" s="81"/>
      <c r="E74" s="81"/>
      <c r="F74" s="76"/>
      <c r="G74" s="78"/>
      <c r="H74" s="78"/>
      <c r="I74" s="78"/>
      <c r="J74" s="78"/>
      <c r="K74" s="79"/>
      <c r="L74"/>
      <c r="M74" s="135"/>
      <c r="N74" s="82">
        <v>14</v>
      </c>
      <c r="O74" s="111" t="s">
        <v>91</v>
      </c>
      <c r="P74" s="123">
        <v>1.3</v>
      </c>
      <c r="Q74" s="116"/>
      <c r="R74" s="40" t="s">
        <v>124</v>
      </c>
      <c r="S74" s="114"/>
      <c r="T74" s="117"/>
    </row>
    <row r="75" spans="1:24" s="13" customFormat="1" ht="24.95" customHeight="1" x14ac:dyDescent="0.2">
      <c r="A75" s="80"/>
      <c r="B75" s="81"/>
      <c r="C75" s="75"/>
      <c r="D75" s="81"/>
      <c r="E75" s="81"/>
      <c r="F75" s="76"/>
      <c r="G75" s="78"/>
      <c r="H75" s="78"/>
      <c r="I75" s="78"/>
      <c r="J75" s="78"/>
      <c r="K75" s="79"/>
      <c r="L75"/>
      <c r="M75" s="135"/>
      <c r="N75" s="108">
        <v>15</v>
      </c>
      <c r="O75" s="111" t="s">
        <v>92</v>
      </c>
      <c r="P75" s="123">
        <v>1</v>
      </c>
      <c r="Q75" s="116"/>
      <c r="R75" s="40" t="s">
        <v>123</v>
      </c>
      <c r="S75" s="114"/>
      <c r="T75" s="117"/>
      <c r="W75"/>
      <c r="X75"/>
    </row>
    <row r="76" spans="1:24" ht="24.95" customHeight="1" x14ac:dyDescent="0.2">
      <c r="A76" s="80"/>
      <c r="B76" s="81"/>
      <c r="C76" s="75"/>
      <c r="D76" s="81"/>
      <c r="E76" s="81"/>
      <c r="F76" s="76"/>
      <c r="G76" s="78"/>
      <c r="H76" s="78"/>
      <c r="I76" s="78"/>
      <c r="J76" s="78"/>
      <c r="K76" s="79"/>
      <c r="M76" s="129"/>
      <c r="N76" s="82">
        <v>16</v>
      </c>
      <c r="O76" s="111" t="s">
        <v>93</v>
      </c>
      <c r="P76" s="123">
        <v>1.7</v>
      </c>
      <c r="Q76" s="116"/>
      <c r="R76" s="138" t="s">
        <v>125</v>
      </c>
      <c r="S76" s="51"/>
      <c r="T76" s="118"/>
    </row>
    <row r="77" spans="1:24" ht="24.95" customHeight="1" x14ac:dyDescent="0.2">
      <c r="A77" s="80"/>
      <c r="B77" s="81"/>
      <c r="C77" s="75"/>
      <c r="D77" s="81"/>
      <c r="E77" s="81"/>
      <c r="F77" s="76"/>
      <c r="G77" s="78"/>
      <c r="H77" s="78"/>
      <c r="I77" s="78"/>
      <c r="J77" s="78"/>
      <c r="K77" s="79"/>
      <c r="M77" s="136"/>
      <c r="N77" s="108">
        <v>17</v>
      </c>
      <c r="O77" s="113" t="s">
        <v>94</v>
      </c>
      <c r="P77" s="131">
        <v>1</v>
      </c>
      <c r="Q77" s="116"/>
      <c r="R77" s="40" t="s">
        <v>123</v>
      </c>
      <c r="S77" s="51"/>
      <c r="T77" s="118"/>
    </row>
    <row r="78" spans="1:24" ht="20.100000000000001" customHeight="1" x14ac:dyDescent="0.2">
      <c r="A78" s="80"/>
      <c r="B78" s="81"/>
      <c r="C78" s="75"/>
      <c r="D78" s="81"/>
      <c r="E78" s="81"/>
      <c r="F78" s="76"/>
      <c r="G78" s="78"/>
      <c r="H78" s="78"/>
      <c r="I78" s="78"/>
      <c r="J78" s="78"/>
      <c r="K78" s="79"/>
      <c r="M78" s="129"/>
      <c r="N78" s="82">
        <v>18</v>
      </c>
      <c r="O78" s="111" t="s">
        <v>95</v>
      </c>
      <c r="P78" s="123">
        <v>1.3</v>
      </c>
      <c r="Q78" s="340">
        <v>1.3</v>
      </c>
      <c r="R78" s="40" t="s">
        <v>123</v>
      </c>
      <c r="S78" s="51"/>
      <c r="T78" s="118"/>
      <c r="U78" s="48"/>
      <c r="V78" s="49"/>
    </row>
    <row r="79" spans="1:24" ht="20.100000000000001" customHeight="1" x14ac:dyDescent="0.2">
      <c r="A79" s="80"/>
      <c r="B79" s="81"/>
      <c r="C79" s="75"/>
      <c r="D79" s="81"/>
      <c r="E79" s="81"/>
      <c r="F79" s="76"/>
      <c r="G79" s="78"/>
      <c r="H79" s="78"/>
      <c r="I79" s="78"/>
      <c r="J79" s="78"/>
      <c r="K79" s="79"/>
      <c r="M79" s="129"/>
      <c r="N79" s="108">
        <v>19</v>
      </c>
      <c r="O79" s="113" t="s">
        <v>96</v>
      </c>
      <c r="P79" s="123">
        <v>1.7</v>
      </c>
      <c r="Q79" s="116"/>
      <c r="R79" s="138" t="s">
        <v>125</v>
      </c>
      <c r="S79" s="51"/>
      <c r="T79" s="119"/>
    </row>
    <row r="80" spans="1:24" ht="24.95" customHeight="1" x14ac:dyDescent="0.2">
      <c r="A80" s="80"/>
      <c r="B80" s="81"/>
      <c r="C80" s="75"/>
      <c r="D80" s="81"/>
      <c r="E80" s="81"/>
      <c r="F80" s="76"/>
      <c r="G80" s="78"/>
      <c r="H80" s="78"/>
      <c r="I80" s="78"/>
      <c r="J80" s="78"/>
      <c r="K80" s="79"/>
      <c r="M80" s="136"/>
      <c r="N80" s="82">
        <v>20</v>
      </c>
      <c r="O80" s="111" t="s">
        <v>97</v>
      </c>
      <c r="P80" s="123">
        <v>1.35</v>
      </c>
      <c r="Q80" s="340">
        <v>1.35</v>
      </c>
      <c r="R80" s="40" t="s">
        <v>123</v>
      </c>
      <c r="S80" s="51"/>
      <c r="T80" s="119"/>
    </row>
    <row r="81" spans="1:24" ht="24.95" customHeight="1" x14ac:dyDescent="0.2">
      <c r="A81" s="80"/>
      <c r="B81" s="81"/>
      <c r="C81" s="75"/>
      <c r="D81" s="81"/>
      <c r="E81" s="81"/>
      <c r="F81" s="76"/>
      <c r="G81" s="78"/>
      <c r="H81" s="78"/>
      <c r="I81" s="78"/>
      <c r="J81" s="78"/>
      <c r="K81" s="79"/>
      <c r="M81" s="129"/>
      <c r="N81" s="108">
        <v>21</v>
      </c>
      <c r="O81" s="111" t="s">
        <v>98</v>
      </c>
      <c r="P81" s="123">
        <v>1.425</v>
      </c>
      <c r="Q81" s="340">
        <v>1.425</v>
      </c>
      <c r="R81" s="40" t="s">
        <v>124</v>
      </c>
      <c r="S81" s="53"/>
      <c r="T81" s="112"/>
    </row>
    <row r="82" spans="1:24" ht="24.95" customHeight="1" x14ac:dyDescent="0.2">
      <c r="A82" s="80"/>
      <c r="B82" s="81"/>
      <c r="C82" s="75"/>
      <c r="D82" s="81"/>
      <c r="E82" s="81"/>
      <c r="F82" s="76"/>
      <c r="G82" s="78"/>
      <c r="H82" s="78"/>
      <c r="I82" s="78"/>
      <c r="J82" s="78"/>
      <c r="K82" s="79"/>
      <c r="M82" s="135"/>
      <c r="N82" s="82">
        <v>22</v>
      </c>
      <c r="O82" s="113" t="s">
        <v>99</v>
      </c>
      <c r="P82" s="123">
        <v>1.3</v>
      </c>
      <c r="Q82" s="116"/>
      <c r="R82" s="40" t="s">
        <v>124</v>
      </c>
      <c r="S82" s="51"/>
      <c r="T82" s="115"/>
    </row>
    <row r="83" spans="1:24" ht="24.95" customHeight="1" x14ac:dyDescent="0.2">
      <c r="A83" s="80"/>
      <c r="B83" s="81"/>
      <c r="C83" s="75"/>
      <c r="D83" s="81"/>
      <c r="E83" s="81"/>
      <c r="F83" s="76"/>
      <c r="G83" s="78"/>
      <c r="H83" s="78"/>
      <c r="I83" s="78"/>
      <c r="J83" s="78"/>
      <c r="K83" s="79"/>
      <c r="M83" s="135"/>
      <c r="N83" s="108">
        <v>23</v>
      </c>
      <c r="O83" s="113" t="s">
        <v>129</v>
      </c>
      <c r="P83" s="123">
        <v>1.3</v>
      </c>
      <c r="Q83" s="116"/>
      <c r="R83" s="40" t="s">
        <v>124</v>
      </c>
      <c r="S83" s="53"/>
      <c r="T83" s="112"/>
    </row>
    <row r="84" spans="1:24" ht="24.95" customHeight="1" x14ac:dyDescent="0.2">
      <c r="A84" s="80"/>
      <c r="B84" s="81"/>
      <c r="C84" s="75"/>
      <c r="D84" s="81"/>
      <c r="E84" s="81"/>
      <c r="F84" s="76"/>
      <c r="G84" s="78"/>
      <c r="H84" s="78"/>
      <c r="I84" s="78"/>
      <c r="J84" s="78"/>
      <c r="K84" s="79"/>
      <c r="M84" s="135"/>
      <c r="N84" s="82">
        <v>24</v>
      </c>
      <c r="O84" s="113" t="s">
        <v>100</v>
      </c>
      <c r="P84" s="123">
        <v>1</v>
      </c>
      <c r="Q84" s="116"/>
      <c r="R84" s="40" t="s">
        <v>123</v>
      </c>
      <c r="S84" s="51"/>
      <c r="T84" s="115"/>
    </row>
    <row r="85" spans="1:24" ht="24.95" customHeight="1" x14ac:dyDescent="0.2">
      <c r="A85" s="80"/>
      <c r="B85" s="81"/>
      <c r="C85" s="75"/>
      <c r="D85" s="81"/>
      <c r="E85" s="81"/>
      <c r="F85" s="76"/>
      <c r="G85" s="78"/>
      <c r="H85" s="78"/>
      <c r="I85" s="78"/>
      <c r="J85" s="78"/>
      <c r="K85" s="79"/>
      <c r="M85" s="129"/>
      <c r="N85" s="108">
        <v>25</v>
      </c>
      <c r="O85" s="111" t="s">
        <v>101</v>
      </c>
      <c r="P85" s="123">
        <v>1.7</v>
      </c>
      <c r="Q85" s="116"/>
      <c r="R85" s="138" t="s">
        <v>125</v>
      </c>
      <c r="S85" s="51"/>
      <c r="T85" s="115"/>
    </row>
    <row r="86" spans="1:24" ht="24.95" customHeight="1" x14ac:dyDescent="0.2">
      <c r="A86" s="80"/>
      <c r="B86" s="81"/>
      <c r="C86" s="75"/>
      <c r="D86" s="81"/>
      <c r="E86" s="81"/>
      <c r="F86" s="76"/>
      <c r="G86" s="78"/>
      <c r="H86" s="78"/>
      <c r="I86" s="78"/>
      <c r="J86" s="78"/>
      <c r="K86" s="79"/>
      <c r="M86" s="136"/>
      <c r="N86" s="82">
        <v>26</v>
      </c>
      <c r="O86" s="111" t="s">
        <v>178</v>
      </c>
      <c r="P86" s="123">
        <v>1.3</v>
      </c>
      <c r="Q86" s="116"/>
      <c r="R86" s="40" t="s">
        <v>124</v>
      </c>
      <c r="S86" s="53"/>
      <c r="T86" s="112"/>
      <c r="W86" s="50"/>
    </row>
    <row r="87" spans="1:24" ht="24.95" customHeight="1" x14ac:dyDescent="0.2">
      <c r="A87" s="80"/>
      <c r="B87" s="81"/>
      <c r="C87" s="75"/>
      <c r="D87" s="81"/>
      <c r="E87" s="81"/>
      <c r="F87" s="76"/>
      <c r="G87" s="78"/>
      <c r="H87" s="78"/>
      <c r="I87" s="78"/>
      <c r="J87" s="78"/>
      <c r="K87" s="79"/>
      <c r="M87" s="135"/>
      <c r="N87" s="108">
        <v>27</v>
      </c>
      <c r="O87" s="111" t="s">
        <v>102</v>
      </c>
      <c r="P87" s="123">
        <v>1.625</v>
      </c>
      <c r="Q87" s="340">
        <v>1.625</v>
      </c>
      <c r="R87" s="40" t="s">
        <v>124</v>
      </c>
      <c r="S87" s="53"/>
      <c r="T87" s="112"/>
      <c r="W87" s="50"/>
      <c r="X87" s="50"/>
    </row>
    <row r="88" spans="1:24" ht="24.95" customHeight="1" x14ac:dyDescent="0.2">
      <c r="A88" s="80"/>
      <c r="B88" s="81"/>
      <c r="C88" s="75"/>
      <c r="D88" s="81"/>
      <c r="E88" s="81"/>
      <c r="F88" s="76"/>
      <c r="G88" s="78"/>
      <c r="H88" s="78"/>
      <c r="I88" s="78"/>
      <c r="J88" s="78"/>
      <c r="K88" s="79"/>
      <c r="M88" s="135"/>
      <c r="N88" s="82">
        <v>28</v>
      </c>
      <c r="O88" s="8" t="s">
        <v>103</v>
      </c>
      <c r="P88" s="123">
        <v>1.3</v>
      </c>
      <c r="Q88" s="116"/>
      <c r="R88" s="40" t="s">
        <v>124</v>
      </c>
      <c r="S88" s="53"/>
      <c r="T88" s="112"/>
      <c r="W88" s="50"/>
      <c r="X88" s="50"/>
    </row>
    <row r="89" spans="1:24" ht="24.95" customHeight="1" x14ac:dyDescent="0.2">
      <c r="A89" s="80"/>
      <c r="B89" s="81"/>
      <c r="C89" s="75"/>
      <c r="D89" s="81"/>
      <c r="E89" s="81"/>
      <c r="F89" s="76"/>
      <c r="G89" s="78"/>
      <c r="H89" s="78"/>
      <c r="I89" s="78"/>
      <c r="J89" s="78"/>
      <c r="K89" s="79"/>
      <c r="M89" s="135"/>
      <c r="N89" s="108">
        <v>29</v>
      </c>
      <c r="O89" s="111" t="s">
        <v>104</v>
      </c>
      <c r="P89" s="123">
        <v>1.3</v>
      </c>
      <c r="Q89" s="116"/>
      <c r="R89" s="40" t="s">
        <v>124</v>
      </c>
      <c r="S89" s="53"/>
      <c r="T89" s="112"/>
      <c r="W89" s="50"/>
      <c r="X89" s="50"/>
    </row>
    <row r="90" spans="1:24" ht="24.95" customHeight="1" x14ac:dyDescent="0.2">
      <c r="A90" s="80"/>
      <c r="B90" s="81"/>
      <c r="C90" s="75"/>
      <c r="D90" s="81"/>
      <c r="E90" s="81"/>
      <c r="F90" s="76"/>
      <c r="G90" s="78"/>
      <c r="H90" s="78"/>
      <c r="I90" s="78"/>
      <c r="J90" s="78"/>
      <c r="K90" s="79"/>
      <c r="M90" s="135"/>
      <c r="N90" s="82">
        <v>30</v>
      </c>
      <c r="O90" s="111" t="s">
        <v>130</v>
      </c>
      <c r="P90" s="123">
        <v>1.3</v>
      </c>
      <c r="Q90" s="116"/>
      <c r="R90" s="40" t="s">
        <v>124</v>
      </c>
      <c r="S90" s="53"/>
      <c r="T90" s="112"/>
      <c r="W90" s="50"/>
      <c r="X90" s="50"/>
    </row>
    <row r="91" spans="1:24" ht="24.95" customHeight="1" x14ac:dyDescent="0.2">
      <c r="A91" s="80"/>
      <c r="B91" s="81"/>
      <c r="C91" s="75"/>
      <c r="D91" s="81"/>
      <c r="E91" s="81"/>
      <c r="F91" s="76"/>
      <c r="G91" s="78"/>
      <c r="H91" s="78"/>
      <c r="I91" s="78"/>
      <c r="J91" s="78"/>
      <c r="K91" s="79"/>
      <c r="M91" s="135"/>
      <c r="N91" s="108">
        <v>31</v>
      </c>
      <c r="O91" s="111" t="s">
        <v>105</v>
      </c>
      <c r="P91" s="123">
        <v>1.3</v>
      </c>
      <c r="Q91" s="116"/>
      <c r="R91" s="40" t="s">
        <v>124</v>
      </c>
      <c r="S91" s="53"/>
      <c r="T91" s="112"/>
      <c r="W91" s="50"/>
      <c r="X91" s="50"/>
    </row>
    <row r="92" spans="1:24" ht="24.95" customHeight="1" x14ac:dyDescent="0.2">
      <c r="A92" s="80"/>
      <c r="B92" s="81"/>
      <c r="C92" s="75"/>
      <c r="D92" s="81"/>
      <c r="E92" s="81"/>
      <c r="F92" s="76"/>
      <c r="G92" s="78"/>
      <c r="H92" s="78"/>
      <c r="I92" s="78"/>
      <c r="J92" s="78"/>
      <c r="K92" s="79"/>
      <c r="M92" s="135"/>
      <c r="N92" s="82">
        <v>32</v>
      </c>
      <c r="O92" s="113" t="s">
        <v>106</v>
      </c>
      <c r="P92" s="123">
        <v>1.7</v>
      </c>
      <c r="Q92" s="116"/>
      <c r="R92" s="138" t="s">
        <v>125</v>
      </c>
      <c r="S92" s="53"/>
      <c r="T92" s="112"/>
      <c r="W92" s="50"/>
      <c r="X92" s="50"/>
    </row>
    <row r="93" spans="1:24" ht="24.95" customHeight="1" x14ac:dyDescent="0.2">
      <c r="A93" s="80"/>
      <c r="B93" s="81"/>
      <c r="C93" s="75"/>
      <c r="D93" s="81"/>
      <c r="E93" s="81"/>
      <c r="F93" s="76"/>
      <c r="G93" s="78"/>
      <c r="H93" s="78"/>
      <c r="I93" s="78"/>
      <c r="J93" s="78"/>
      <c r="K93" s="79"/>
      <c r="M93" s="135"/>
      <c r="N93" s="108">
        <v>33</v>
      </c>
      <c r="O93" s="111" t="s">
        <v>107</v>
      </c>
      <c r="P93" s="123">
        <v>2.15</v>
      </c>
      <c r="Q93" s="340">
        <v>2.15</v>
      </c>
      <c r="R93" s="138" t="s">
        <v>125</v>
      </c>
      <c r="S93" s="53"/>
      <c r="T93" s="112"/>
      <c r="W93" s="50"/>
      <c r="X93" s="50"/>
    </row>
    <row r="94" spans="1:24" ht="24.95" customHeight="1" x14ac:dyDescent="0.2">
      <c r="A94" s="80"/>
      <c r="B94" s="81"/>
      <c r="C94" s="75"/>
      <c r="D94" s="81"/>
      <c r="E94" s="81"/>
      <c r="F94" s="76"/>
      <c r="G94" s="78"/>
      <c r="H94" s="78"/>
      <c r="I94" s="78"/>
      <c r="J94" s="78"/>
      <c r="K94" s="79"/>
      <c r="M94" s="135"/>
      <c r="N94" s="82">
        <v>36</v>
      </c>
      <c r="O94" s="120" t="s">
        <v>108</v>
      </c>
      <c r="P94" s="123">
        <v>1.7</v>
      </c>
      <c r="R94" s="138" t="s">
        <v>125</v>
      </c>
      <c r="S94" s="53"/>
      <c r="T94" s="112"/>
      <c r="W94" s="50"/>
      <c r="X94" s="50"/>
    </row>
    <row r="95" spans="1:24" ht="24.95" customHeight="1" x14ac:dyDescent="0.2">
      <c r="A95" s="80"/>
      <c r="B95" s="81"/>
      <c r="C95" s="75"/>
      <c r="D95" s="81"/>
      <c r="E95" s="81"/>
      <c r="F95" s="76"/>
      <c r="G95" s="78"/>
      <c r="H95" s="78"/>
      <c r="I95" s="78"/>
      <c r="J95" s="78"/>
      <c r="K95" s="79"/>
      <c r="M95" s="135"/>
      <c r="N95" s="51"/>
      <c r="O95" s="51"/>
      <c r="P95" s="52"/>
      <c r="R95" s="116"/>
      <c r="S95" s="53"/>
      <c r="T95" s="112"/>
      <c r="W95" s="50"/>
      <c r="X95" s="50"/>
    </row>
    <row r="96" spans="1:24" ht="24.95" customHeight="1" x14ac:dyDescent="0.2">
      <c r="A96" s="80"/>
      <c r="B96" s="81"/>
      <c r="C96" s="75"/>
      <c r="D96" s="81"/>
      <c r="E96" s="81"/>
      <c r="F96" s="76"/>
      <c r="G96" s="78"/>
      <c r="H96" s="78"/>
      <c r="I96" s="78"/>
      <c r="J96" s="78"/>
      <c r="K96" s="79"/>
      <c r="M96" s="135"/>
      <c r="N96" s="54" t="s">
        <v>109</v>
      </c>
      <c r="O96" s="55" t="s">
        <v>2</v>
      </c>
      <c r="P96" s="56" t="s">
        <v>110</v>
      </c>
      <c r="R96" s="116"/>
      <c r="S96" s="53"/>
      <c r="T96" s="112"/>
      <c r="W96" s="50"/>
      <c r="X96" s="50"/>
    </row>
    <row r="97" spans="1:27" ht="24.95" customHeight="1" x14ac:dyDescent="0.2">
      <c r="A97" s="80"/>
      <c r="B97" s="81"/>
      <c r="C97" s="75"/>
      <c r="D97" s="81"/>
      <c r="E97" s="81"/>
      <c r="F97" s="76"/>
      <c r="G97" s="78"/>
      <c r="H97" s="78"/>
      <c r="I97" s="78"/>
      <c r="J97" s="78"/>
      <c r="K97" s="79"/>
      <c r="M97" s="135"/>
      <c r="N97" s="72">
        <v>1</v>
      </c>
      <c r="O97" s="84" t="s">
        <v>111</v>
      </c>
      <c r="P97" s="121">
        <v>0.3</v>
      </c>
      <c r="Q97" s="27"/>
      <c r="R97" s="116"/>
      <c r="S97" s="51"/>
      <c r="T97" s="118"/>
      <c r="W97" s="50"/>
      <c r="X97" s="50"/>
    </row>
    <row r="98" spans="1:27" ht="24.95" customHeight="1" x14ac:dyDescent="0.2">
      <c r="A98" s="80"/>
      <c r="B98" s="81"/>
      <c r="C98" s="75"/>
      <c r="D98" s="81"/>
      <c r="E98" s="81"/>
      <c r="F98" s="76"/>
      <c r="G98" s="78"/>
      <c r="H98" s="78"/>
      <c r="I98" s="78"/>
      <c r="J98" s="78"/>
      <c r="K98" s="79"/>
      <c r="M98" s="136"/>
      <c r="N98" s="72">
        <v>2</v>
      </c>
      <c r="O98" s="84" t="s">
        <v>179</v>
      </c>
      <c r="P98" s="143">
        <v>0.31</v>
      </c>
      <c r="Q98" s="27" t="s">
        <v>198</v>
      </c>
      <c r="R98" s="116"/>
      <c r="S98" s="51"/>
      <c r="T98" s="118"/>
      <c r="X98" s="50"/>
    </row>
    <row r="99" spans="1:27" ht="24.95" customHeight="1" x14ac:dyDescent="0.2">
      <c r="A99" s="125"/>
      <c r="B99" s="74"/>
      <c r="C99" s="126"/>
      <c r="D99" s="74"/>
      <c r="E99" s="74"/>
      <c r="F99" s="127"/>
      <c r="G99" s="77"/>
      <c r="H99" s="77"/>
      <c r="I99" s="77"/>
      <c r="J99" s="77"/>
      <c r="K99" s="79"/>
      <c r="M99" s="136"/>
      <c r="N99" s="72">
        <v>3</v>
      </c>
      <c r="O99" s="84" t="s">
        <v>112</v>
      </c>
      <c r="P99" s="143">
        <v>0.32</v>
      </c>
      <c r="Q99" s="27" t="s">
        <v>198</v>
      </c>
      <c r="S99" s="51"/>
      <c r="T99" s="115"/>
      <c r="X99" s="50"/>
    </row>
    <row r="100" spans="1:27" ht="24.95" customHeight="1" x14ac:dyDescent="0.2">
      <c r="M100" s="136"/>
      <c r="N100" s="72">
        <v>4</v>
      </c>
      <c r="O100" s="84" t="s">
        <v>113</v>
      </c>
      <c r="P100" s="121">
        <v>0.28999999999999998</v>
      </c>
      <c r="Q100" s="27"/>
      <c r="S100" s="51"/>
      <c r="T100" s="119"/>
      <c r="X100" s="50"/>
    </row>
    <row r="101" spans="1:27" ht="24.95" customHeight="1" x14ac:dyDescent="0.2">
      <c r="N101" s="72">
        <v>5</v>
      </c>
      <c r="O101" s="83" t="s">
        <v>225</v>
      </c>
      <c r="P101" s="122">
        <v>0.3</v>
      </c>
      <c r="Q101" s="27" t="s">
        <v>180</v>
      </c>
      <c r="S101" s="51"/>
      <c r="T101" s="115"/>
    </row>
    <row r="102" spans="1:27" ht="24.95" customHeight="1" x14ac:dyDescent="0.2">
      <c r="N102" s="72">
        <v>6</v>
      </c>
      <c r="O102" s="84" t="s">
        <v>114</v>
      </c>
      <c r="P102" s="121">
        <v>0.3</v>
      </c>
      <c r="Q102" s="27"/>
      <c r="S102" s="53"/>
      <c r="T102" s="112"/>
    </row>
    <row r="103" spans="1:27" ht="24.95" customHeight="1" x14ac:dyDescent="0.2">
      <c r="N103" s="72">
        <v>7</v>
      </c>
      <c r="O103" s="84" t="s">
        <v>115</v>
      </c>
      <c r="P103" s="121">
        <v>0.34</v>
      </c>
      <c r="Q103" s="27"/>
      <c r="S103" s="53"/>
      <c r="T103" s="112"/>
    </row>
    <row r="104" spans="1:27" ht="24.95" customHeight="1" x14ac:dyDescent="0.2">
      <c r="N104" s="72">
        <v>8</v>
      </c>
      <c r="O104" s="84" t="s">
        <v>116</v>
      </c>
      <c r="P104" s="206">
        <v>0.32</v>
      </c>
      <c r="Q104" s="27"/>
      <c r="S104" s="53"/>
      <c r="T104" s="112"/>
    </row>
    <row r="105" spans="1:27" ht="24.95" customHeight="1" x14ac:dyDescent="0.2">
      <c r="N105" s="72">
        <v>9</v>
      </c>
      <c r="O105" s="84" t="s">
        <v>117</v>
      </c>
      <c r="P105" s="121">
        <v>0.32</v>
      </c>
      <c r="Q105" s="27"/>
    </row>
    <row r="106" spans="1:27" ht="24.95" customHeight="1" x14ac:dyDescent="0.2">
      <c r="N106" s="72">
        <v>10</v>
      </c>
      <c r="O106" s="84" t="s">
        <v>181</v>
      </c>
      <c r="P106" s="121">
        <v>0.33</v>
      </c>
      <c r="Q106" s="27"/>
    </row>
    <row r="107" spans="1:27" ht="24.95" customHeight="1" x14ac:dyDescent="0.2">
      <c r="N107" s="72">
        <v>11</v>
      </c>
      <c r="O107" s="84" t="s">
        <v>118</v>
      </c>
      <c r="P107" s="121">
        <v>0.31</v>
      </c>
      <c r="Q107" s="27"/>
      <c r="R107" s="50"/>
    </row>
    <row r="108" spans="1:27" ht="24.95" customHeight="1" x14ac:dyDescent="0.2">
      <c r="A108" s="355" t="s">
        <v>226</v>
      </c>
      <c r="B108" s="355"/>
      <c r="C108" s="355"/>
      <c r="D108" s="355"/>
      <c r="E108" s="355"/>
      <c r="F108" s="355"/>
      <c r="G108" s="355"/>
      <c r="H108" s="355"/>
      <c r="I108" s="355"/>
      <c r="J108" s="355"/>
      <c r="K108" s="355"/>
      <c r="N108" s="72">
        <v>12</v>
      </c>
      <c r="O108" s="84" t="s">
        <v>119</v>
      </c>
      <c r="P108" s="122">
        <v>0.3</v>
      </c>
      <c r="Q108" s="27" t="s">
        <v>180</v>
      </c>
    </row>
    <row r="109" spans="1:27" ht="24.95" customHeight="1" x14ac:dyDescent="0.2">
      <c r="A109" s="59"/>
      <c r="B109" s="60"/>
      <c r="C109" s="61"/>
      <c r="D109" s="62"/>
      <c r="E109" s="62"/>
      <c r="F109" s="62"/>
      <c r="N109" s="72">
        <v>13</v>
      </c>
      <c r="O109" s="84" t="s">
        <v>220</v>
      </c>
      <c r="P109" s="121">
        <v>0.28999999999999998</v>
      </c>
      <c r="Q109" s="27"/>
    </row>
    <row r="110" spans="1:27" ht="24.95" customHeight="1" x14ac:dyDescent="0.2">
      <c r="A110" s="66"/>
      <c r="B110" s="62"/>
      <c r="C110" s="61"/>
      <c r="D110" s="62"/>
      <c r="E110" s="62"/>
      <c r="F110" s="62"/>
      <c r="G110" s="63"/>
      <c r="H110" s="62"/>
      <c r="I110" s="59"/>
      <c r="J110" s="65"/>
      <c r="K110" s="64"/>
      <c r="N110" s="72">
        <v>14</v>
      </c>
      <c r="O110" s="84" t="s">
        <v>105</v>
      </c>
      <c r="P110" s="121">
        <v>0.32</v>
      </c>
      <c r="Q110" s="27"/>
    </row>
    <row r="111" spans="1:27" ht="20.100000000000001" customHeight="1" x14ac:dyDescent="0.2">
      <c r="A111" s="67"/>
      <c r="B111" s="62"/>
      <c r="C111" s="61"/>
      <c r="D111" s="62"/>
      <c r="E111" s="62"/>
      <c r="F111" s="62"/>
      <c r="G111" s="63"/>
      <c r="H111" s="62"/>
      <c r="I111" s="66"/>
      <c r="J111" s="65"/>
      <c r="K111" s="64"/>
      <c r="N111" s="72">
        <v>15</v>
      </c>
      <c r="O111" s="84" t="s">
        <v>120</v>
      </c>
      <c r="P111" s="122">
        <v>0.28999999999999998</v>
      </c>
      <c r="Q111" s="27" t="s">
        <v>180</v>
      </c>
      <c r="S111" s="50"/>
      <c r="T111" s="50"/>
      <c r="U111" s="50"/>
      <c r="V111" s="50"/>
    </row>
    <row r="112" spans="1:27" ht="20.100000000000001" customHeight="1" x14ac:dyDescent="0.2">
      <c r="A112" s="67"/>
      <c r="B112" s="62"/>
      <c r="C112" s="61"/>
      <c r="D112" s="62"/>
      <c r="E112" s="62"/>
      <c r="F112" s="62"/>
      <c r="G112" s="63"/>
      <c r="H112" s="62"/>
      <c r="I112" s="67"/>
      <c r="J112" s="13"/>
      <c r="K112" s="47"/>
      <c r="N112" s="72">
        <v>16</v>
      </c>
      <c r="O112" s="84" t="s">
        <v>121</v>
      </c>
      <c r="P112" s="121">
        <v>0.28999999999999998</v>
      </c>
      <c r="Q112" s="27"/>
      <c r="Y112" s="50"/>
      <c r="Z112" s="50"/>
      <c r="AA112" s="50"/>
    </row>
    <row r="113" spans="1:17" ht="20.100000000000001" customHeight="1" x14ac:dyDescent="0.2">
      <c r="A113" s="66"/>
      <c r="B113" s="62"/>
      <c r="C113" s="61"/>
      <c r="D113" s="62"/>
      <c r="E113" s="62"/>
      <c r="F113" s="62"/>
      <c r="G113" s="63"/>
      <c r="H113" s="62"/>
      <c r="I113" s="67"/>
      <c r="J113" s="13"/>
      <c r="K113" s="47"/>
      <c r="N113" s="72">
        <v>17</v>
      </c>
      <c r="O113" s="84" t="s">
        <v>122</v>
      </c>
      <c r="P113" s="121">
        <v>0.32</v>
      </c>
      <c r="Q113" s="27"/>
    </row>
    <row r="114" spans="1:17" ht="20.100000000000001" customHeight="1" x14ac:dyDescent="0.2">
      <c r="A114" s="66"/>
      <c r="B114" s="62"/>
      <c r="C114" s="61"/>
      <c r="D114" s="62"/>
      <c r="E114" s="62"/>
      <c r="F114" s="62"/>
      <c r="G114" s="63"/>
      <c r="H114" s="62"/>
      <c r="I114" s="66"/>
      <c r="J114" s="68"/>
      <c r="K114" s="64"/>
      <c r="O114" s="57"/>
    </row>
    <row r="115" spans="1:17" ht="20.100000000000001" customHeight="1" x14ac:dyDescent="0.2">
      <c r="A115" s="66"/>
      <c r="B115" s="62"/>
      <c r="C115" s="61"/>
      <c r="D115" s="62"/>
      <c r="E115" s="62"/>
      <c r="F115" s="62"/>
      <c r="G115" s="63"/>
      <c r="H115" s="62"/>
      <c r="I115" s="66"/>
      <c r="J115" s="68"/>
      <c r="K115" s="64"/>
      <c r="O115" s="53"/>
    </row>
    <row r="116" spans="1:17" ht="20.100000000000001" customHeight="1" x14ac:dyDescent="0.2">
      <c r="A116" s="66"/>
      <c r="B116" s="62"/>
      <c r="C116" s="61"/>
      <c r="D116" s="62"/>
      <c r="E116" s="62"/>
      <c r="F116" s="62"/>
      <c r="G116" s="63"/>
      <c r="H116" s="62"/>
      <c r="I116" s="66"/>
      <c r="J116" s="65"/>
      <c r="K116" s="64"/>
      <c r="L116" s="50"/>
      <c r="O116" s="53"/>
    </row>
    <row r="117" spans="1:17" ht="20.100000000000001" customHeight="1" x14ac:dyDescent="0.2">
      <c r="A117" s="66"/>
      <c r="B117" s="62"/>
      <c r="C117" s="61"/>
      <c r="D117" s="62"/>
      <c r="E117" s="62"/>
      <c r="F117" s="62"/>
      <c r="G117" s="63"/>
      <c r="H117" s="62"/>
      <c r="I117" s="66"/>
      <c r="J117" s="64"/>
      <c r="K117" s="64"/>
      <c r="O117" s="53"/>
    </row>
    <row r="118" spans="1:17" ht="20.100000000000001" customHeight="1" x14ac:dyDescent="0.2">
      <c r="A118" s="67"/>
      <c r="B118" s="62"/>
      <c r="C118" s="61"/>
      <c r="D118" s="62"/>
      <c r="E118" s="62"/>
      <c r="F118" s="47"/>
      <c r="G118" s="63"/>
      <c r="H118" s="62"/>
      <c r="I118" s="66"/>
      <c r="J118" s="65"/>
      <c r="K118" s="64"/>
      <c r="O118" s="53"/>
      <c r="P118" s="85"/>
    </row>
    <row r="119" spans="1:17" ht="20.100000000000001" customHeight="1" x14ac:dyDescent="0.2">
      <c r="A119" s="66"/>
      <c r="B119" s="62"/>
      <c r="C119" s="61"/>
      <c r="D119" s="62"/>
      <c r="E119" s="62"/>
      <c r="F119" s="62"/>
      <c r="G119" s="63"/>
      <c r="H119" s="62"/>
      <c r="I119" s="67"/>
      <c r="J119" s="13"/>
      <c r="K119" s="64"/>
      <c r="O119" s="53"/>
    </row>
    <row r="120" spans="1:17" ht="20.100000000000001" customHeight="1" x14ac:dyDescent="0.2">
      <c r="A120" s="66"/>
      <c r="B120" s="62"/>
      <c r="C120" s="61"/>
      <c r="D120" s="62"/>
      <c r="E120" s="62"/>
      <c r="F120" s="62"/>
      <c r="G120" s="69"/>
      <c r="H120" s="62"/>
      <c r="I120" s="66"/>
      <c r="J120" s="65"/>
      <c r="K120" s="64"/>
      <c r="O120" s="53"/>
    </row>
    <row r="121" spans="1:17" ht="20.100000000000001" customHeight="1" x14ac:dyDescent="0.2">
      <c r="A121" s="67"/>
      <c r="B121" s="62"/>
      <c r="C121" s="61"/>
      <c r="D121" s="62"/>
      <c r="E121" s="62"/>
      <c r="F121" s="62"/>
      <c r="G121" s="63"/>
      <c r="H121" s="62"/>
      <c r="I121" s="66"/>
      <c r="J121" s="64"/>
      <c r="K121" s="64"/>
      <c r="O121" s="53"/>
    </row>
    <row r="122" spans="1:17" ht="20.100000000000001" customHeight="1" x14ac:dyDescent="0.2">
      <c r="A122" s="67"/>
      <c r="B122" s="62"/>
      <c r="C122" s="61"/>
      <c r="D122" s="62"/>
      <c r="E122" s="62"/>
      <c r="F122" s="62"/>
      <c r="G122" s="63"/>
      <c r="H122" s="62"/>
      <c r="I122" s="67"/>
      <c r="J122" s="13"/>
      <c r="K122" s="64"/>
      <c r="O122" s="53"/>
    </row>
    <row r="123" spans="1:17" ht="20.100000000000001" customHeight="1" x14ac:dyDescent="0.2">
      <c r="G123" s="63"/>
      <c r="H123" s="62"/>
      <c r="I123" s="67"/>
      <c r="J123" s="13"/>
      <c r="K123" s="64"/>
      <c r="O123" s="53"/>
    </row>
    <row r="124" spans="1:17" ht="20.100000000000001" customHeight="1" x14ac:dyDescent="0.2"/>
    <row r="125" spans="1:17" ht="20.100000000000001" customHeight="1" x14ac:dyDescent="0.2"/>
    <row r="126" spans="1:17" ht="20.100000000000001" customHeight="1" x14ac:dyDescent="0.2"/>
    <row r="127" spans="1:17" ht="20.100000000000001" customHeight="1" x14ac:dyDescent="0.2"/>
    <row r="128" spans="1:17" ht="20.100000000000001" customHeight="1" x14ac:dyDescent="0.2"/>
    <row r="129" spans="13:13" ht="20.100000000000001" customHeight="1" x14ac:dyDescent="0.2"/>
    <row r="130" spans="13:13" ht="20.100000000000001" customHeight="1" x14ac:dyDescent="0.2"/>
    <row r="132" spans="13:13" x14ac:dyDescent="0.2">
      <c r="M132" s="50"/>
    </row>
    <row r="133" spans="13:13" x14ac:dyDescent="0.2">
      <c r="M133" s="50"/>
    </row>
    <row r="139" spans="13:13" ht="13.5" customHeight="1" x14ac:dyDescent="0.2"/>
    <row r="143" spans="13:13" ht="13.5" customHeight="1" x14ac:dyDescent="0.2"/>
    <row r="148" ht="12.75" customHeight="1" x14ac:dyDescent="0.2"/>
    <row r="152" ht="12.75" customHeight="1" x14ac:dyDescent="0.2"/>
  </sheetData>
  <sheetProtection sheet="1" objects="1" scenarios="1"/>
  <sortState ref="M59:Q94">
    <sortCondition ref="N59:N94"/>
  </sortState>
  <mergeCells count="41">
    <mergeCell ref="R59:R60"/>
    <mergeCell ref="N59:P60"/>
    <mergeCell ref="A44:D44"/>
    <mergeCell ref="H42:J42"/>
    <mergeCell ref="D8:E8"/>
    <mergeCell ref="D13:E13"/>
    <mergeCell ref="A15:D15"/>
    <mergeCell ref="G15:K15"/>
    <mergeCell ref="A33:A34"/>
    <mergeCell ref="B33:B34"/>
    <mergeCell ref="C33:C34"/>
    <mergeCell ref="D33:D34"/>
    <mergeCell ref="J49:J50"/>
    <mergeCell ref="K49:K50"/>
    <mergeCell ref="G32:J33"/>
    <mergeCell ref="C29:F29"/>
    <mergeCell ref="A108:K108"/>
    <mergeCell ref="A66:K66"/>
    <mergeCell ref="C30:C31"/>
    <mergeCell ref="A43:C43"/>
    <mergeCell ref="G34:G35"/>
    <mergeCell ref="J34:J35"/>
    <mergeCell ref="H34:H35"/>
    <mergeCell ref="I34:I35"/>
    <mergeCell ref="H46:J46"/>
    <mergeCell ref="F40:F41"/>
    <mergeCell ref="G45:G46"/>
    <mergeCell ref="I29:I30"/>
    <mergeCell ref="J29:J30"/>
    <mergeCell ref="F67:J67"/>
    <mergeCell ref="G49:G50"/>
    <mergeCell ref="H49:I49"/>
    <mergeCell ref="A1:F1"/>
    <mergeCell ref="E2:F2"/>
    <mergeCell ref="G1:H1"/>
    <mergeCell ref="A5:L5"/>
    <mergeCell ref="B7:C7"/>
    <mergeCell ref="D7:F7"/>
    <mergeCell ref="H7:J7"/>
    <mergeCell ref="D25:E25"/>
    <mergeCell ref="A24:H24"/>
  </mergeCells>
  <printOptions horizontalCentered="1"/>
  <pageMargins left="0.78740157480314965" right="0.19685039370078741" top="0" bottom="0" header="0" footer="0"/>
  <pageSetup scale="68" fitToHeight="0" orientation="portrait" horizontalDpi="4294967294" r:id="rId1"/>
  <headerFooter alignWithMargins="0">
    <oddFooter>&amp;C&amp;D&amp;R&amp;Z&amp;F</oddFooter>
  </headerFooter>
  <rowBreaks count="1" manualBreakCount="1">
    <brk id="65" max="11" man="1"/>
  </rowBreaks>
  <ignoredErrors>
    <ignoredError sqref="D59"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6145" r:id="rId4" name="Drop Down 1">
              <controlPr locked="0" defaultSize="0" autoLine="0" autoPict="0">
                <anchor moveWithCells="1">
                  <from>
                    <xdr:col>0</xdr:col>
                    <xdr:colOff>9525</xdr:colOff>
                    <xdr:row>31</xdr:row>
                    <xdr:rowOff>9525</xdr:rowOff>
                  </from>
                  <to>
                    <xdr:col>1</xdr:col>
                    <xdr:colOff>0</xdr:colOff>
                    <xdr:row>31</xdr:row>
                    <xdr:rowOff>209550</xdr:rowOff>
                  </to>
                </anchor>
              </controlPr>
            </control>
          </mc:Choice>
        </mc:AlternateContent>
        <mc:AlternateContent xmlns:mc="http://schemas.openxmlformats.org/markup-compatibility/2006">
          <mc:Choice Requires="x14">
            <control shapeId="6146" r:id="rId5" name="Drop Down 2">
              <controlPr locked="0" defaultSize="0" autoLine="0" autoPict="0">
                <anchor moveWithCells="1">
                  <from>
                    <xdr:col>0</xdr:col>
                    <xdr:colOff>19050</xdr:colOff>
                    <xdr:row>25</xdr:row>
                    <xdr:rowOff>9525</xdr:rowOff>
                  </from>
                  <to>
                    <xdr:col>1</xdr:col>
                    <xdr:colOff>0</xdr:colOff>
                    <xdr:row>25</xdr:row>
                    <xdr:rowOff>219075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Must Yan Nutrient </vt:lpstr>
      <vt:lpstr>'Must Yan Nutrient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David</cp:lastModifiedBy>
  <cp:lastPrinted>2016-04-18T23:38:58Z</cp:lastPrinted>
  <dcterms:created xsi:type="dcterms:W3CDTF">2014-10-17T02:24:04Z</dcterms:created>
  <dcterms:modified xsi:type="dcterms:W3CDTF">2016-09-17T19:31:02Z</dcterms:modified>
</cp:coreProperties>
</file>